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9540" activeTab="1"/>
  </bookViews>
  <sheets>
    <sheet name="1ra Quincena" sheetId="1" r:id="rId1"/>
    <sheet name="2da Quincena" sheetId="2" r:id="rId2"/>
    <sheet name="Estimulo" sheetId="3" r:id="rId3"/>
  </sheets>
  <calcPr calcId="145621"/>
</workbook>
</file>

<file path=xl/calcChain.xml><?xml version="1.0" encoding="utf-8"?>
<calcChain xmlns="http://schemas.openxmlformats.org/spreadsheetml/2006/main">
  <c r="E74" i="2" l="1"/>
  <c r="E75" i="2" s="1"/>
  <c r="F75" i="2" s="1"/>
  <c r="F72" i="2"/>
  <c r="AA70" i="2"/>
  <c r="Z70" i="2"/>
  <c r="Y70" i="2"/>
  <c r="V70" i="2"/>
  <c r="U70" i="2"/>
  <c r="T70" i="2"/>
  <c r="S70" i="2"/>
  <c r="R70" i="2"/>
  <c r="Q70" i="2"/>
  <c r="O70" i="2"/>
  <c r="N70" i="2"/>
  <c r="H70" i="2"/>
  <c r="G70" i="2"/>
  <c r="E70" i="2"/>
  <c r="AB69" i="2"/>
  <c r="X69" i="2"/>
  <c r="W69" i="2"/>
  <c r="P69" i="2"/>
  <c r="AB68" i="2"/>
  <c r="X68" i="2"/>
  <c r="W68" i="2"/>
  <c r="P68" i="2"/>
  <c r="AB67" i="2"/>
  <c r="X67" i="2"/>
  <c r="W67" i="2"/>
  <c r="P67" i="2"/>
  <c r="AB66" i="2"/>
  <c r="X66" i="2"/>
  <c r="W66" i="2"/>
  <c r="P66" i="2"/>
  <c r="AB65" i="2"/>
  <c r="AB70" i="2" s="1"/>
  <c r="X65" i="2"/>
  <c r="X70" i="2" s="1"/>
  <c r="W65" i="2"/>
  <c r="W70" i="2" s="1"/>
  <c r="P65" i="2"/>
  <c r="P70" i="2" s="1"/>
  <c r="Y62" i="2"/>
  <c r="V62" i="2"/>
  <c r="T62" i="2"/>
  <c r="S62" i="2"/>
  <c r="R62" i="2"/>
  <c r="Q62" i="2"/>
  <c r="O62" i="2"/>
  <c r="N62" i="2"/>
  <c r="H62" i="2"/>
  <c r="G62" i="2"/>
  <c r="E62" i="2"/>
  <c r="AA61" i="2"/>
  <c r="Z61" i="2"/>
  <c r="AB61" i="2" s="1"/>
  <c r="U61" i="2"/>
  <c r="W61" i="2" s="1"/>
  <c r="X61" i="2" s="1"/>
  <c r="P61" i="2"/>
  <c r="AA60" i="2"/>
  <c r="Z60" i="2"/>
  <c r="AB60" i="2" s="1"/>
  <c r="W60" i="2"/>
  <c r="U60" i="2"/>
  <c r="P60" i="2"/>
  <c r="X60" i="2" s="1"/>
  <c r="AA59" i="2"/>
  <c r="Z59" i="2"/>
  <c r="AB59" i="2" s="1"/>
  <c r="U59" i="2"/>
  <c r="W59" i="2" s="1"/>
  <c r="X59" i="2" s="1"/>
  <c r="P59" i="2"/>
  <c r="AA58" i="2"/>
  <c r="Z58" i="2"/>
  <c r="AB58" i="2" s="1"/>
  <c r="W58" i="2"/>
  <c r="U58" i="2"/>
  <c r="P58" i="2"/>
  <c r="X58" i="2" s="1"/>
  <c r="AA57" i="2"/>
  <c r="AA62" i="2" s="1"/>
  <c r="Z57" i="2"/>
  <c r="Z62" i="2" s="1"/>
  <c r="U57" i="2"/>
  <c r="W57" i="2" s="1"/>
  <c r="X57" i="2" s="1"/>
  <c r="P57" i="2"/>
  <c r="AB56" i="2"/>
  <c r="W56" i="2"/>
  <c r="P56" i="2"/>
  <c r="X56" i="2" s="1"/>
  <c r="Y53" i="2"/>
  <c r="T53" i="2"/>
  <c r="S53" i="2"/>
  <c r="R53" i="2"/>
  <c r="Q53" i="2"/>
  <c r="O53" i="2"/>
  <c r="N53" i="2"/>
  <c r="M53" i="2"/>
  <c r="M72" i="2" s="1"/>
  <c r="L53" i="2"/>
  <c r="L72" i="2" s="1"/>
  <c r="K53" i="2"/>
  <c r="K72" i="2" s="1"/>
  <c r="J53" i="2"/>
  <c r="J72" i="2" s="1"/>
  <c r="I53" i="2"/>
  <c r="I72" i="2" s="1"/>
  <c r="H53" i="2"/>
  <c r="G53" i="2"/>
  <c r="E53" i="2"/>
  <c r="AA52" i="2"/>
  <c r="Z52" i="2"/>
  <c r="AB52" i="2" s="1"/>
  <c r="W52" i="2"/>
  <c r="U52" i="2"/>
  <c r="P52" i="2"/>
  <c r="X52" i="2" s="1"/>
  <c r="AA51" i="2"/>
  <c r="Z51" i="2"/>
  <c r="AB51" i="2" s="1"/>
  <c r="U51" i="2"/>
  <c r="W51" i="2" s="1"/>
  <c r="X51" i="2" s="1"/>
  <c r="P51" i="2"/>
  <c r="AA50" i="2"/>
  <c r="Z50" i="2"/>
  <c r="AB50" i="2" s="1"/>
  <c r="W50" i="2"/>
  <c r="U50" i="2"/>
  <c r="P50" i="2"/>
  <c r="X50" i="2" s="1"/>
  <c r="AA49" i="2"/>
  <c r="Z49" i="2"/>
  <c r="AB49" i="2" s="1"/>
  <c r="U49" i="2"/>
  <c r="W49" i="2" s="1"/>
  <c r="X49" i="2" s="1"/>
  <c r="P49" i="2"/>
  <c r="AA48" i="2"/>
  <c r="Z48" i="2"/>
  <c r="AB48" i="2" s="1"/>
  <c r="W48" i="2"/>
  <c r="U48" i="2"/>
  <c r="P48" i="2"/>
  <c r="X48" i="2" s="1"/>
  <c r="AA47" i="2"/>
  <c r="Z47" i="2"/>
  <c r="AB47" i="2" s="1"/>
  <c r="U47" i="2"/>
  <c r="W47" i="2" s="1"/>
  <c r="X47" i="2" s="1"/>
  <c r="P47" i="2"/>
  <c r="AA46" i="2"/>
  <c r="Z46" i="2"/>
  <c r="AB46" i="2" s="1"/>
  <c r="W46" i="2"/>
  <c r="U46" i="2"/>
  <c r="P46" i="2"/>
  <c r="X46" i="2" s="1"/>
  <c r="AB45" i="2"/>
  <c r="W45" i="2"/>
  <c r="P45" i="2"/>
  <c r="X45" i="2" s="1"/>
  <c r="AA44" i="2"/>
  <c r="Z44" i="2"/>
  <c r="AB44" i="2" s="1"/>
  <c r="U44" i="2"/>
  <c r="W44" i="2" s="1"/>
  <c r="X44" i="2" s="1"/>
  <c r="P44" i="2"/>
  <c r="AA43" i="2"/>
  <c r="Z43" i="2"/>
  <c r="AB43" i="2" s="1"/>
  <c r="W43" i="2"/>
  <c r="U43" i="2"/>
  <c r="P43" i="2"/>
  <c r="X43" i="2" s="1"/>
  <c r="AA42" i="2"/>
  <c r="Z42" i="2"/>
  <c r="AB42" i="2" s="1"/>
  <c r="U42" i="2"/>
  <c r="W42" i="2" s="1"/>
  <c r="X42" i="2" s="1"/>
  <c r="P42" i="2"/>
  <c r="AA41" i="2"/>
  <c r="Z41" i="2"/>
  <c r="AB41" i="2" s="1"/>
  <c r="W41" i="2"/>
  <c r="U41" i="2"/>
  <c r="P41" i="2"/>
  <c r="X41" i="2" s="1"/>
  <c r="AA40" i="2"/>
  <c r="Z40" i="2"/>
  <c r="AB40" i="2" s="1"/>
  <c r="U40" i="2"/>
  <c r="W40" i="2" s="1"/>
  <c r="X40" i="2" s="1"/>
  <c r="P40" i="2"/>
  <c r="AA39" i="2"/>
  <c r="Z39" i="2"/>
  <c r="AB39" i="2" s="1"/>
  <c r="W39" i="2"/>
  <c r="U39" i="2"/>
  <c r="P39" i="2"/>
  <c r="X39" i="2" s="1"/>
  <c r="AA38" i="2"/>
  <c r="Z38" i="2"/>
  <c r="AB38" i="2" s="1"/>
  <c r="U38" i="2"/>
  <c r="W38" i="2" s="1"/>
  <c r="X38" i="2" s="1"/>
  <c r="P38" i="2"/>
  <c r="AA37" i="2"/>
  <c r="Z37" i="2"/>
  <c r="AB37" i="2" s="1"/>
  <c r="W37" i="2"/>
  <c r="U37" i="2"/>
  <c r="P37" i="2"/>
  <c r="X37" i="2" s="1"/>
  <c r="AA36" i="2"/>
  <c r="AA53" i="2" s="1"/>
  <c r="Z36" i="2"/>
  <c r="Z53" i="2" s="1"/>
  <c r="U36" i="2"/>
  <c r="U53" i="2" s="1"/>
  <c r="P36" i="2"/>
  <c r="P53" i="2" s="1"/>
  <c r="Y32" i="2"/>
  <c r="T32" i="2"/>
  <c r="S32" i="2"/>
  <c r="R32" i="2"/>
  <c r="Q32" i="2"/>
  <c r="O32" i="2"/>
  <c r="N32" i="2"/>
  <c r="G32" i="2"/>
  <c r="E32" i="2"/>
  <c r="AA31" i="2"/>
  <c r="Z31" i="2"/>
  <c r="AB31" i="2" s="1"/>
  <c r="W31" i="2"/>
  <c r="U31" i="2"/>
  <c r="P31" i="2"/>
  <c r="X31" i="2" s="1"/>
  <c r="AA30" i="2"/>
  <c r="Z30" i="2"/>
  <c r="AB30" i="2" s="1"/>
  <c r="U30" i="2"/>
  <c r="W30" i="2" s="1"/>
  <c r="X30" i="2" s="1"/>
  <c r="P30" i="2"/>
  <c r="AA29" i="2"/>
  <c r="Z29" i="2"/>
  <c r="Z32" i="2" s="1"/>
  <c r="W29" i="2"/>
  <c r="U29" i="2"/>
  <c r="P29" i="2"/>
  <c r="X29" i="2" s="1"/>
  <c r="AA28" i="2"/>
  <c r="AA32" i="2" s="1"/>
  <c r="Z28" i="2"/>
  <c r="AB28" i="2" s="1"/>
  <c r="U28" i="2"/>
  <c r="U32" i="2" s="1"/>
  <c r="P28" i="2"/>
  <c r="P32" i="2" s="1"/>
  <c r="Y25" i="2"/>
  <c r="V25" i="2"/>
  <c r="V72" i="2" s="1"/>
  <c r="T25" i="2"/>
  <c r="S25" i="2"/>
  <c r="R25" i="2"/>
  <c r="Q25" i="2"/>
  <c r="O25" i="2"/>
  <c r="N25" i="2"/>
  <c r="H25" i="2"/>
  <c r="H72" i="2" s="1"/>
  <c r="G25" i="2"/>
  <c r="E25" i="2"/>
  <c r="AA24" i="2"/>
  <c r="Z24" i="2"/>
  <c r="AB24" i="2" s="1"/>
  <c r="W24" i="2"/>
  <c r="U24" i="2"/>
  <c r="P24" i="2"/>
  <c r="X24" i="2" s="1"/>
  <c r="AA23" i="2"/>
  <c r="Z23" i="2"/>
  <c r="AB23" i="2" s="1"/>
  <c r="U23" i="2"/>
  <c r="W23" i="2" s="1"/>
  <c r="X23" i="2" s="1"/>
  <c r="P23" i="2"/>
  <c r="AA22" i="2"/>
  <c r="Z22" i="2"/>
  <c r="AB22" i="2" s="1"/>
  <c r="W22" i="2"/>
  <c r="U22" i="2"/>
  <c r="P22" i="2"/>
  <c r="X22" i="2" s="1"/>
  <c r="AA21" i="2"/>
  <c r="AB21" i="2" s="1"/>
  <c r="Z21" i="2"/>
  <c r="U21" i="2"/>
  <c r="W21" i="2" s="1"/>
  <c r="X21" i="2" s="1"/>
  <c r="P21" i="2"/>
  <c r="AA20" i="2"/>
  <c r="Z20" i="2"/>
  <c r="AB20" i="2" s="1"/>
  <c r="W20" i="2"/>
  <c r="U20" i="2"/>
  <c r="P20" i="2"/>
  <c r="X20" i="2" s="1"/>
  <c r="AA19" i="2"/>
  <c r="Z19" i="2"/>
  <c r="AB19" i="2" s="1"/>
  <c r="U19" i="2"/>
  <c r="W19" i="2" s="1"/>
  <c r="X19" i="2" s="1"/>
  <c r="P19" i="2"/>
  <c r="AA18" i="2"/>
  <c r="Z18" i="2"/>
  <c r="AB18" i="2" s="1"/>
  <c r="W18" i="2"/>
  <c r="U18" i="2"/>
  <c r="P18" i="2"/>
  <c r="X18" i="2" s="1"/>
  <c r="AA17" i="2"/>
  <c r="AB17" i="2" s="1"/>
  <c r="Z17" i="2"/>
  <c r="U17" i="2"/>
  <c r="W17" i="2" s="1"/>
  <c r="X17" i="2" s="1"/>
  <c r="P17" i="2"/>
  <c r="AA16" i="2"/>
  <c r="Z16" i="2"/>
  <c r="AB16" i="2" s="1"/>
  <c r="W16" i="2"/>
  <c r="U16" i="2"/>
  <c r="P16" i="2"/>
  <c r="X16" i="2" s="1"/>
  <c r="AA15" i="2"/>
  <c r="Z15" i="2"/>
  <c r="AB15" i="2" s="1"/>
  <c r="U15" i="2"/>
  <c r="W15" i="2" s="1"/>
  <c r="X15" i="2" s="1"/>
  <c r="P15" i="2"/>
  <c r="AB14" i="2"/>
  <c r="P14" i="2"/>
  <c r="AA13" i="2"/>
  <c r="Z13" i="2"/>
  <c r="AB13" i="2" s="1"/>
  <c r="W13" i="2"/>
  <c r="U13" i="2"/>
  <c r="P13" i="2"/>
  <c r="X13" i="2" s="1"/>
  <c r="AA12" i="2"/>
  <c r="AA25" i="2" s="1"/>
  <c r="Z12" i="2"/>
  <c r="Z25" i="2" s="1"/>
  <c r="U12" i="2"/>
  <c r="U25" i="2" s="1"/>
  <c r="P12" i="2"/>
  <c r="P25" i="2" s="1"/>
  <c r="Y9" i="2"/>
  <c r="Y72" i="2" s="1"/>
  <c r="T9" i="2"/>
  <c r="T72" i="2" s="1"/>
  <c r="S9" i="2"/>
  <c r="S72" i="2" s="1"/>
  <c r="R9" i="2"/>
  <c r="R72" i="2" s="1"/>
  <c r="Q9" i="2"/>
  <c r="Q72" i="2" s="1"/>
  <c r="O9" i="2"/>
  <c r="O72" i="2" s="1"/>
  <c r="N9" i="2"/>
  <c r="N72" i="2" s="1"/>
  <c r="G9" i="2"/>
  <c r="G72" i="2" s="1"/>
  <c r="E9" i="2"/>
  <c r="E72" i="2" s="1"/>
  <c r="AA8" i="2"/>
  <c r="Z8" i="2"/>
  <c r="Z9" i="2" s="1"/>
  <c r="W8" i="2"/>
  <c r="U8" i="2"/>
  <c r="P8" i="2"/>
  <c r="P9" i="2" s="1"/>
  <c r="AA7" i="2"/>
  <c r="AB7" i="2" s="1"/>
  <c r="Z7" i="2"/>
  <c r="U7" i="2"/>
  <c r="U9" i="2" s="1"/>
  <c r="P7" i="2"/>
  <c r="E74" i="1"/>
  <c r="E75" i="1" s="1"/>
  <c r="F75" i="1" s="1"/>
  <c r="F72" i="1"/>
  <c r="AA70" i="1"/>
  <c r="Z70" i="1"/>
  <c r="Y70" i="1"/>
  <c r="V70" i="1"/>
  <c r="U70" i="1"/>
  <c r="T70" i="1"/>
  <c r="S70" i="1"/>
  <c r="R70" i="1"/>
  <c r="Q70" i="1"/>
  <c r="P70" i="1"/>
  <c r="O70" i="1"/>
  <c r="N70" i="1"/>
  <c r="H70" i="1"/>
  <c r="G70" i="1"/>
  <c r="E70" i="1"/>
  <c r="AB69" i="1"/>
  <c r="X69" i="1"/>
  <c r="W69" i="1"/>
  <c r="P69" i="1"/>
  <c r="AB68" i="1"/>
  <c r="X68" i="1"/>
  <c r="W68" i="1"/>
  <c r="P68" i="1"/>
  <c r="AB67" i="1"/>
  <c r="X67" i="1"/>
  <c r="W67" i="1"/>
  <c r="P67" i="1"/>
  <c r="AB66" i="1"/>
  <c r="X66" i="1"/>
  <c r="W66" i="1"/>
  <c r="P66" i="1"/>
  <c r="AB65" i="1"/>
  <c r="AB70" i="1" s="1"/>
  <c r="X65" i="1"/>
  <c r="X70" i="1" s="1"/>
  <c r="W65" i="1"/>
  <c r="W70" i="1" s="1"/>
  <c r="P65" i="1"/>
  <c r="Y62" i="1"/>
  <c r="V62" i="1"/>
  <c r="T62" i="1"/>
  <c r="S62" i="1"/>
  <c r="R62" i="1"/>
  <c r="Q62" i="1"/>
  <c r="O62" i="1"/>
  <c r="N62" i="1"/>
  <c r="H62" i="1"/>
  <c r="G62" i="1"/>
  <c r="AA61" i="1"/>
  <c r="Z61" i="1"/>
  <c r="AB61" i="1" s="1"/>
  <c r="U61" i="1"/>
  <c r="W61" i="1" s="1"/>
  <c r="P61" i="1"/>
  <c r="AB60" i="1"/>
  <c r="W60" i="1"/>
  <c r="P60" i="1"/>
  <c r="X60" i="1" s="1"/>
  <c r="E60" i="1"/>
  <c r="E62" i="1" s="1"/>
  <c r="AA59" i="1"/>
  <c r="Z59" i="1"/>
  <c r="AB59" i="1" s="1"/>
  <c r="U59" i="1"/>
  <c r="W59" i="1" s="1"/>
  <c r="P59" i="1"/>
  <c r="AA58" i="1"/>
  <c r="Z58" i="1"/>
  <c r="AB58" i="1" s="1"/>
  <c r="U58" i="1"/>
  <c r="W58" i="1" s="1"/>
  <c r="P58" i="1"/>
  <c r="AB57" i="1"/>
  <c r="AA57" i="1"/>
  <c r="AA62" i="1" s="1"/>
  <c r="Z57" i="1"/>
  <c r="Z62" i="1" s="1"/>
  <c r="X57" i="1"/>
  <c r="W57" i="1"/>
  <c r="U57" i="1"/>
  <c r="U62" i="1" s="1"/>
  <c r="P57" i="1"/>
  <c r="AB56" i="1"/>
  <c r="X56" i="1"/>
  <c r="W56" i="1"/>
  <c r="W62" i="1" s="1"/>
  <c r="P56" i="1"/>
  <c r="P62" i="1" s="1"/>
  <c r="Y53" i="1"/>
  <c r="T53" i="1"/>
  <c r="S53" i="1"/>
  <c r="R53" i="1"/>
  <c r="Q53" i="1"/>
  <c r="O53" i="1"/>
  <c r="N53" i="1"/>
  <c r="M53" i="1"/>
  <c r="M72" i="1" s="1"/>
  <c r="L53" i="1"/>
  <c r="L72" i="1" s="1"/>
  <c r="K53" i="1"/>
  <c r="K72" i="1" s="1"/>
  <c r="J53" i="1"/>
  <c r="J72" i="1" s="1"/>
  <c r="I53" i="1"/>
  <c r="I72" i="1" s="1"/>
  <c r="H53" i="1"/>
  <c r="G53" i="1"/>
  <c r="AA52" i="1"/>
  <c r="Z52" i="1"/>
  <c r="AB52" i="1" s="1"/>
  <c r="U52" i="1"/>
  <c r="W52" i="1" s="1"/>
  <c r="P52" i="1"/>
  <c r="AA51" i="1"/>
  <c r="Z51" i="1"/>
  <c r="AB51" i="1" s="1"/>
  <c r="X51" i="1"/>
  <c r="W51" i="1"/>
  <c r="U51" i="1"/>
  <c r="P51" i="1"/>
  <c r="AB50" i="1"/>
  <c r="AA50" i="1"/>
  <c r="Z50" i="1"/>
  <c r="W50" i="1"/>
  <c r="X50" i="1" s="1"/>
  <c r="U50" i="1"/>
  <c r="P50" i="1"/>
  <c r="AA49" i="1"/>
  <c r="Z49" i="1"/>
  <c r="AB49" i="1" s="1"/>
  <c r="U49" i="1"/>
  <c r="W49" i="1" s="1"/>
  <c r="P49" i="1"/>
  <c r="AA48" i="1"/>
  <c r="Z48" i="1"/>
  <c r="AB48" i="1" s="1"/>
  <c r="U48" i="1"/>
  <c r="W48" i="1" s="1"/>
  <c r="P48" i="1"/>
  <c r="AA47" i="1"/>
  <c r="Z47" i="1"/>
  <c r="AB47" i="1" s="1"/>
  <c r="X47" i="1"/>
  <c r="W47" i="1"/>
  <c r="U47" i="1"/>
  <c r="P47" i="1"/>
  <c r="AB46" i="1"/>
  <c r="AA46" i="1"/>
  <c r="Z46" i="1"/>
  <c r="W46" i="1"/>
  <c r="X46" i="1" s="1"/>
  <c r="U46" i="1"/>
  <c r="P46" i="1"/>
  <c r="AB45" i="1"/>
  <c r="X45" i="1"/>
  <c r="W45" i="1"/>
  <c r="P45" i="1"/>
  <c r="AB44" i="1"/>
  <c r="W44" i="1"/>
  <c r="E44" i="1"/>
  <c r="P44" i="1" s="1"/>
  <c r="X44" i="1" s="1"/>
  <c r="AA43" i="1"/>
  <c r="AB43" i="1" s="1"/>
  <c r="Z43" i="1"/>
  <c r="U43" i="1"/>
  <c r="W43" i="1" s="1"/>
  <c r="P43" i="1"/>
  <c r="AA42" i="1"/>
  <c r="Z42" i="1"/>
  <c r="AB42" i="1" s="1"/>
  <c r="U42" i="1"/>
  <c r="W42" i="1" s="1"/>
  <c r="P42" i="1"/>
  <c r="AA41" i="1"/>
  <c r="Z41" i="1"/>
  <c r="AB41" i="1" s="1"/>
  <c r="U41" i="1"/>
  <c r="W41" i="1" s="1"/>
  <c r="P41" i="1"/>
  <c r="AB40" i="1"/>
  <c r="AA40" i="1"/>
  <c r="Z40" i="1"/>
  <c r="X40" i="1"/>
  <c r="W40" i="1"/>
  <c r="U40" i="1"/>
  <c r="P40" i="1"/>
  <c r="AB39" i="1"/>
  <c r="AA39" i="1"/>
  <c r="Z39" i="1"/>
  <c r="U39" i="1"/>
  <c r="W39" i="1" s="1"/>
  <c r="X39" i="1" s="1"/>
  <c r="P39" i="1"/>
  <c r="AA38" i="1"/>
  <c r="Z38" i="1"/>
  <c r="AB38" i="1" s="1"/>
  <c r="U38" i="1"/>
  <c r="W38" i="1" s="1"/>
  <c r="P38" i="1"/>
  <c r="AA37" i="1"/>
  <c r="Z37" i="1"/>
  <c r="AB37" i="1" s="1"/>
  <c r="U37" i="1"/>
  <c r="W37" i="1" s="1"/>
  <c r="P37" i="1"/>
  <c r="AA36" i="1"/>
  <c r="AA53" i="1" s="1"/>
  <c r="Z36" i="1"/>
  <c r="Z53" i="1" s="1"/>
  <c r="X36" i="1"/>
  <c r="W36" i="1"/>
  <c r="U36" i="1"/>
  <c r="U53" i="1" s="1"/>
  <c r="P36" i="1"/>
  <c r="P53" i="1" s="1"/>
  <c r="Y32" i="1"/>
  <c r="T32" i="1"/>
  <c r="S32" i="1"/>
  <c r="R32" i="1"/>
  <c r="Q32" i="1"/>
  <c r="O32" i="1"/>
  <c r="N32" i="1"/>
  <c r="G32" i="1"/>
  <c r="E32" i="1"/>
  <c r="AA31" i="1"/>
  <c r="AB31" i="1" s="1"/>
  <c r="Z31" i="1"/>
  <c r="U31" i="1"/>
  <c r="W31" i="1" s="1"/>
  <c r="X31" i="1" s="1"/>
  <c r="P31" i="1"/>
  <c r="AA30" i="1"/>
  <c r="Z30" i="1"/>
  <c r="AB30" i="1" s="1"/>
  <c r="U30" i="1"/>
  <c r="W30" i="1" s="1"/>
  <c r="P30" i="1"/>
  <c r="X30" i="1" s="1"/>
  <c r="AA29" i="1"/>
  <c r="Z29" i="1"/>
  <c r="AB29" i="1" s="1"/>
  <c r="U29" i="1"/>
  <c r="W29" i="1" s="1"/>
  <c r="P29" i="1"/>
  <c r="X29" i="1" s="1"/>
  <c r="AA28" i="1"/>
  <c r="AA32" i="1" s="1"/>
  <c r="Z28" i="1"/>
  <c r="Z32" i="1" s="1"/>
  <c r="W28" i="1"/>
  <c r="U28" i="1"/>
  <c r="U32" i="1" s="1"/>
  <c r="P28" i="1"/>
  <c r="P32" i="1" s="1"/>
  <c r="Y25" i="1"/>
  <c r="V25" i="1"/>
  <c r="V72" i="1" s="1"/>
  <c r="T25" i="1"/>
  <c r="S25" i="1"/>
  <c r="R25" i="1"/>
  <c r="Q25" i="1"/>
  <c r="O25" i="1"/>
  <c r="N25" i="1"/>
  <c r="H25" i="1"/>
  <c r="H72" i="1" s="1"/>
  <c r="G25" i="1"/>
  <c r="E25" i="1"/>
  <c r="AA24" i="1"/>
  <c r="Z24" i="1"/>
  <c r="AB24" i="1" s="1"/>
  <c r="U24" i="1"/>
  <c r="W24" i="1" s="1"/>
  <c r="P24" i="1"/>
  <c r="X24" i="1" s="1"/>
  <c r="AA23" i="1"/>
  <c r="Z23" i="1"/>
  <c r="AB23" i="1" s="1"/>
  <c r="W23" i="1"/>
  <c r="U23" i="1"/>
  <c r="P23" i="1"/>
  <c r="X23" i="1" s="1"/>
  <c r="AB22" i="1"/>
  <c r="AA22" i="1"/>
  <c r="Z22" i="1"/>
  <c r="X22" i="1"/>
  <c r="W22" i="1"/>
  <c r="U22" i="1"/>
  <c r="P22" i="1"/>
  <c r="AB21" i="1"/>
  <c r="AA21" i="1"/>
  <c r="Z21" i="1"/>
  <c r="W21" i="1"/>
  <c r="U21" i="1"/>
  <c r="P21" i="1"/>
  <c r="X21" i="1" s="1"/>
  <c r="AA20" i="1"/>
  <c r="Z20" i="1"/>
  <c r="AB20" i="1" s="1"/>
  <c r="U20" i="1"/>
  <c r="W20" i="1" s="1"/>
  <c r="P20" i="1"/>
  <c r="X20" i="1" s="1"/>
  <c r="AA19" i="1"/>
  <c r="Z19" i="1"/>
  <c r="AB19" i="1" s="1"/>
  <c r="W19" i="1"/>
  <c r="U19" i="1"/>
  <c r="P19" i="1"/>
  <c r="X19" i="1" s="1"/>
  <c r="AA18" i="1"/>
  <c r="AB18" i="1" s="1"/>
  <c r="Z18" i="1"/>
  <c r="U18" i="1"/>
  <c r="W18" i="1" s="1"/>
  <c r="X18" i="1" s="1"/>
  <c r="P18" i="1"/>
  <c r="AB17" i="1"/>
  <c r="AA17" i="1"/>
  <c r="Z17" i="1"/>
  <c r="W17" i="1"/>
  <c r="U17" i="1"/>
  <c r="P17" i="1"/>
  <c r="X17" i="1" s="1"/>
  <c r="AA16" i="1"/>
  <c r="Z16" i="1"/>
  <c r="AB16" i="1" s="1"/>
  <c r="U16" i="1"/>
  <c r="W16" i="1" s="1"/>
  <c r="P16" i="1"/>
  <c r="AA15" i="1"/>
  <c r="Z15" i="1"/>
  <c r="AB15" i="1" s="1"/>
  <c r="W15" i="1"/>
  <c r="U15" i="1"/>
  <c r="P15" i="1"/>
  <c r="X15" i="1" s="1"/>
  <c r="AB14" i="1"/>
  <c r="P14" i="1"/>
  <c r="AA13" i="1"/>
  <c r="Z13" i="1"/>
  <c r="AB13" i="1" s="1"/>
  <c r="U13" i="1"/>
  <c r="W13" i="1" s="1"/>
  <c r="P13" i="1"/>
  <c r="X13" i="1" s="1"/>
  <c r="AA12" i="1"/>
  <c r="AA25" i="1" s="1"/>
  <c r="Z12" i="1"/>
  <c r="Z25" i="1" s="1"/>
  <c r="W12" i="1"/>
  <c r="U12" i="1"/>
  <c r="U25" i="1" s="1"/>
  <c r="P12" i="1"/>
  <c r="P25" i="1" s="1"/>
  <c r="Y9" i="1"/>
  <c r="Y72" i="1" s="1"/>
  <c r="T9" i="1"/>
  <c r="T72" i="1" s="1"/>
  <c r="S9" i="1"/>
  <c r="S72" i="1" s="1"/>
  <c r="R9" i="1"/>
  <c r="R72" i="1" s="1"/>
  <c r="Q9" i="1"/>
  <c r="Q72" i="1" s="1"/>
  <c r="P9" i="1"/>
  <c r="P72" i="1" s="1"/>
  <c r="O9" i="1"/>
  <c r="O72" i="1" s="1"/>
  <c r="N9" i="1"/>
  <c r="N72" i="1" s="1"/>
  <c r="G9" i="1"/>
  <c r="G72" i="1" s="1"/>
  <c r="E9" i="1"/>
  <c r="AA8" i="1"/>
  <c r="Z8" i="1"/>
  <c r="AB8" i="1" s="1"/>
  <c r="U8" i="1"/>
  <c r="W8" i="1" s="1"/>
  <c r="X8" i="1" s="1"/>
  <c r="P8" i="1"/>
  <c r="AB7" i="1"/>
  <c r="AB9" i="1" s="1"/>
  <c r="AA7" i="1"/>
  <c r="AA9" i="1" s="1"/>
  <c r="AA72" i="1" s="1"/>
  <c r="Z7" i="1"/>
  <c r="Z9" i="1" s="1"/>
  <c r="Z72" i="1" s="1"/>
  <c r="W7" i="1"/>
  <c r="W9" i="1" s="1"/>
  <c r="U7" i="1"/>
  <c r="U9" i="1" s="1"/>
  <c r="U72" i="1" s="1"/>
  <c r="P7" i="1"/>
  <c r="X7" i="1" s="1"/>
  <c r="P72" i="2" l="1"/>
  <c r="X62" i="2"/>
  <c r="Z72" i="2"/>
  <c r="W62" i="2"/>
  <c r="AA9" i="2"/>
  <c r="AA72" i="2" s="1"/>
  <c r="W12" i="2"/>
  <c r="AB12" i="2"/>
  <c r="AB25" i="2" s="1"/>
  <c r="W28" i="2"/>
  <c r="W36" i="2"/>
  <c r="AB36" i="2"/>
  <c r="AB53" i="2" s="1"/>
  <c r="P62" i="2"/>
  <c r="F74" i="2"/>
  <c r="F76" i="2" s="1"/>
  <c r="AB8" i="2"/>
  <c r="AB9" i="2" s="1"/>
  <c r="U62" i="2"/>
  <c r="U72" i="2" s="1"/>
  <c r="W7" i="2"/>
  <c r="X8" i="2"/>
  <c r="AB57" i="2"/>
  <c r="AB62" i="2" s="1"/>
  <c r="AB29" i="2"/>
  <c r="AB32" i="2" s="1"/>
  <c r="X48" i="1"/>
  <c r="X49" i="1"/>
  <c r="X52" i="1"/>
  <c r="X9" i="1"/>
  <c r="X16" i="1"/>
  <c r="W53" i="1"/>
  <c r="X37" i="1"/>
  <c r="X38" i="1"/>
  <c r="X41" i="1"/>
  <c r="X42" i="1"/>
  <c r="X43" i="1"/>
  <c r="AB62" i="1"/>
  <c r="X58" i="1"/>
  <c r="X62" i="1" s="1"/>
  <c r="X59" i="1"/>
  <c r="X61" i="1"/>
  <c r="X53" i="1"/>
  <c r="W25" i="1"/>
  <c r="W72" i="1" s="1"/>
  <c r="W32" i="1"/>
  <c r="AB12" i="1"/>
  <c r="AB25" i="1" s="1"/>
  <c r="AB28" i="1"/>
  <c r="AB32" i="1" s="1"/>
  <c r="AB36" i="1"/>
  <c r="AB53" i="1" s="1"/>
  <c r="AB72" i="1" s="1"/>
  <c r="E53" i="1"/>
  <c r="E72" i="1" s="1"/>
  <c r="F74" i="1"/>
  <c r="F76" i="1" s="1"/>
  <c r="X12" i="1"/>
  <c r="X28" i="1"/>
  <c r="X32" i="1" s="1"/>
  <c r="AB72" i="2" l="1"/>
  <c r="X12" i="2"/>
  <c r="X25" i="2" s="1"/>
  <c r="W25" i="2"/>
  <c r="X28" i="2"/>
  <c r="X32" i="2" s="1"/>
  <c r="W32" i="2"/>
  <c r="W53" i="2"/>
  <c r="X36" i="2"/>
  <c r="X53" i="2" s="1"/>
  <c r="W9" i="2"/>
  <c r="X7" i="2"/>
  <c r="X9" i="2" s="1"/>
  <c r="X72" i="2" s="1"/>
  <c r="X25" i="1"/>
  <c r="X72" i="1"/>
  <c r="N69" i="3"/>
  <c r="M69" i="3"/>
  <c r="L69" i="3"/>
  <c r="K69" i="3"/>
  <c r="I69" i="3"/>
  <c r="H69" i="3"/>
  <c r="F69" i="3"/>
  <c r="F72" i="3" s="1"/>
  <c r="E69" i="3"/>
  <c r="O68" i="3"/>
  <c r="J68" i="3"/>
  <c r="P68" i="3" s="1"/>
  <c r="O67" i="3"/>
  <c r="J67" i="3"/>
  <c r="P67" i="3" s="1"/>
  <c r="P66" i="3"/>
  <c r="O66" i="3"/>
  <c r="J66" i="3"/>
  <c r="O65" i="3"/>
  <c r="O69" i="3" s="1"/>
  <c r="J65" i="3"/>
  <c r="P65" i="3" s="1"/>
  <c r="O64" i="3"/>
  <c r="J64" i="3"/>
  <c r="J69" i="3" s="1"/>
  <c r="N61" i="3"/>
  <c r="M61" i="3"/>
  <c r="L61" i="3"/>
  <c r="K61" i="3"/>
  <c r="I61" i="3"/>
  <c r="G61" i="3"/>
  <c r="E61" i="3"/>
  <c r="P60" i="3"/>
  <c r="O60" i="3"/>
  <c r="J60" i="3"/>
  <c r="H60" i="3"/>
  <c r="P59" i="3"/>
  <c r="O59" i="3"/>
  <c r="J59" i="3"/>
  <c r="H59" i="3"/>
  <c r="H61" i="3" s="1"/>
  <c r="P58" i="3"/>
  <c r="O58" i="3"/>
  <c r="J58" i="3"/>
  <c r="O57" i="3"/>
  <c r="P57" i="3" s="1"/>
  <c r="J57" i="3"/>
  <c r="O56" i="3"/>
  <c r="P56" i="3" s="1"/>
  <c r="P55" i="3"/>
  <c r="P61" i="3" s="1"/>
  <c r="O55" i="3"/>
  <c r="O61" i="3" s="1"/>
  <c r="J55" i="3"/>
  <c r="J61" i="3" s="1"/>
  <c r="N52" i="3"/>
  <c r="M52" i="3"/>
  <c r="L52" i="3"/>
  <c r="K52" i="3"/>
  <c r="I52" i="3"/>
  <c r="G52" i="3"/>
  <c r="E52" i="3"/>
  <c r="O51" i="3"/>
  <c r="J51" i="3"/>
  <c r="P51" i="3" s="1"/>
  <c r="O50" i="3"/>
  <c r="P50" i="3" s="1"/>
  <c r="J50" i="3"/>
  <c r="P49" i="3"/>
  <c r="O49" i="3"/>
  <c r="J49" i="3"/>
  <c r="O48" i="3"/>
  <c r="P48" i="3" s="1"/>
  <c r="O47" i="3"/>
  <c r="J47" i="3"/>
  <c r="P47" i="3" s="1"/>
  <c r="P46" i="3"/>
  <c r="O46" i="3"/>
  <c r="J46" i="3"/>
  <c r="O45" i="3"/>
  <c r="J45" i="3"/>
  <c r="P45" i="3" s="1"/>
  <c r="O44" i="3"/>
  <c r="J44" i="3"/>
  <c r="P44" i="3" s="1"/>
  <c r="O43" i="3"/>
  <c r="J43" i="3"/>
  <c r="P43" i="3" s="1"/>
  <c r="P42" i="3"/>
  <c r="O42" i="3"/>
  <c r="J42" i="3"/>
  <c r="H42" i="3"/>
  <c r="P41" i="3"/>
  <c r="O41" i="3"/>
  <c r="J41" i="3"/>
  <c r="O40" i="3"/>
  <c r="J40" i="3"/>
  <c r="P40" i="3" s="1"/>
  <c r="O39" i="3"/>
  <c r="J39" i="3"/>
  <c r="P39" i="3" s="1"/>
  <c r="O38" i="3"/>
  <c r="P38" i="3" s="1"/>
  <c r="O37" i="3"/>
  <c r="O52" i="3" s="1"/>
  <c r="J37" i="3"/>
  <c r="P37" i="3" s="1"/>
  <c r="O36" i="3"/>
  <c r="J36" i="3"/>
  <c r="P36" i="3" s="1"/>
  <c r="H36" i="3"/>
  <c r="H52" i="3" s="1"/>
  <c r="O35" i="3"/>
  <c r="J35" i="3"/>
  <c r="J52" i="3" s="1"/>
  <c r="N31" i="3"/>
  <c r="M31" i="3"/>
  <c r="L31" i="3"/>
  <c r="K31" i="3"/>
  <c r="I31" i="3"/>
  <c r="E31" i="3"/>
  <c r="O30" i="3"/>
  <c r="J30" i="3"/>
  <c r="P30" i="3" s="1"/>
  <c r="O29" i="3"/>
  <c r="J29" i="3"/>
  <c r="P29" i="3" s="1"/>
  <c r="O28" i="3"/>
  <c r="J28" i="3"/>
  <c r="P28" i="3" s="1"/>
  <c r="H28" i="3"/>
  <c r="H31" i="3" s="1"/>
  <c r="O27" i="3"/>
  <c r="P27" i="3" s="1"/>
  <c r="P31" i="3" s="1"/>
  <c r="J27" i="3"/>
  <c r="J31" i="3" s="1"/>
  <c r="N24" i="3"/>
  <c r="M24" i="3"/>
  <c r="L24" i="3"/>
  <c r="L72" i="3" s="1"/>
  <c r="K24" i="3"/>
  <c r="I24" i="3"/>
  <c r="H24" i="3"/>
  <c r="H72" i="3" s="1"/>
  <c r="E24" i="3"/>
  <c r="O23" i="3"/>
  <c r="J23" i="3"/>
  <c r="P23" i="3" s="1"/>
  <c r="O22" i="3"/>
  <c r="J22" i="3"/>
  <c r="P22" i="3" s="1"/>
  <c r="P21" i="3"/>
  <c r="O21" i="3"/>
  <c r="J21" i="3"/>
  <c r="O20" i="3"/>
  <c r="P20" i="3" s="1"/>
  <c r="J20" i="3"/>
  <c r="O19" i="3"/>
  <c r="J19" i="3"/>
  <c r="P19" i="3" s="1"/>
  <c r="O18" i="3"/>
  <c r="P18" i="3" s="1"/>
  <c r="O17" i="3"/>
  <c r="J17" i="3"/>
  <c r="P17" i="3" s="1"/>
  <c r="H17" i="3"/>
  <c r="O16" i="3"/>
  <c r="J16" i="3"/>
  <c r="P16" i="3" s="1"/>
  <c r="O15" i="3"/>
  <c r="J15" i="3"/>
  <c r="P15" i="3" s="1"/>
  <c r="H15" i="3"/>
  <c r="O14" i="3"/>
  <c r="J14" i="3"/>
  <c r="P14" i="3" s="1"/>
  <c r="O13" i="3"/>
  <c r="J13" i="3"/>
  <c r="P13" i="3" s="1"/>
  <c r="P12" i="3"/>
  <c r="P24" i="3" s="1"/>
  <c r="O12" i="3"/>
  <c r="O24" i="3" s="1"/>
  <c r="J12" i="3"/>
  <c r="J24" i="3" s="1"/>
  <c r="O9" i="3"/>
  <c r="N9" i="3"/>
  <c r="N72" i="3" s="1"/>
  <c r="M9" i="3"/>
  <c r="M72" i="3" s="1"/>
  <c r="L9" i="3"/>
  <c r="K9" i="3"/>
  <c r="K72" i="3" s="1"/>
  <c r="I9" i="3"/>
  <c r="I72" i="3" s="1"/>
  <c r="H9" i="3"/>
  <c r="E9" i="3"/>
  <c r="E72" i="3" s="1"/>
  <c r="O8" i="3"/>
  <c r="P8" i="3" s="1"/>
  <c r="J8" i="3"/>
  <c r="P7" i="3"/>
  <c r="O7" i="3"/>
  <c r="J7" i="3"/>
  <c r="J9" i="3" s="1"/>
  <c r="W72" i="2" l="1"/>
  <c r="P9" i="3"/>
  <c r="J72" i="3"/>
  <c r="O31" i="3"/>
  <c r="O72" i="3" s="1"/>
  <c r="P35" i="3"/>
  <c r="P52" i="3" s="1"/>
  <c r="P64" i="3"/>
  <c r="P69" i="3" s="1"/>
  <c r="P72" i="3" l="1"/>
</calcChain>
</file>

<file path=xl/sharedStrings.xml><?xml version="1.0" encoding="utf-8"?>
<sst xmlns="http://schemas.openxmlformats.org/spreadsheetml/2006/main" count="580" uniqueCount="181">
  <si>
    <t>1RA  SEPTIEMBRE   2022</t>
  </si>
  <si>
    <t>Código</t>
  </si>
  <si>
    <t>Empleado</t>
  </si>
  <si>
    <t>Nombramiento</t>
  </si>
  <si>
    <t>Sueldo</t>
  </si>
  <si>
    <t>DIAS LABORADOS</t>
  </si>
  <si>
    <t xml:space="preserve">PRESTAMO PENSIONES </t>
  </si>
  <si>
    <t xml:space="preserve">DEVOLUCION </t>
  </si>
  <si>
    <t>PRESTAMO MEDIANO PLAZO</t>
  </si>
  <si>
    <t>PRESTAMO HIPOTECARIO</t>
  </si>
  <si>
    <t>FONDO DE GARANTIA P H</t>
  </si>
  <si>
    <t>PRESTAMO LIQUIDES MEDIANO PLAZO</t>
  </si>
  <si>
    <t>FONDO DE GARANTIA MEDIANO PLAZO</t>
  </si>
  <si>
    <t xml:space="preserve">DESCUENTO FALTAS Y RETARDOS  </t>
  </si>
  <si>
    <t>DEVOLUCION RETROACTIVA DE APORTACION A PENSIONES</t>
  </si>
  <si>
    <t>*TOTAL* *PERCEPCIONES*</t>
  </si>
  <si>
    <t>Subsidio al empleo</t>
  </si>
  <si>
    <t xml:space="preserve">I.S.R. </t>
  </si>
  <si>
    <t>I.S.R. (sp)</t>
  </si>
  <si>
    <t xml:space="preserve">AJUSTE AL NETO </t>
  </si>
  <si>
    <t>Pensiones del Estado</t>
  </si>
  <si>
    <t>APORTACION VOLUNTARIA SEDAR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</si>
  <si>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</si>
  <si>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</si>
  <si>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</si>
  <si>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</si>
  <si>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</si>
  <si>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</si>
  <si>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</si>
  <si>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</si>
  <si>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</si>
  <si>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</si>
  <si>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</si>
  <si>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DG03</t>
  </si>
  <si>
    <t>Gallo Delgado Edith Gabriela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</si>
  <si>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</si>
  <si>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</si>
  <si>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</si>
  <si>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</si>
  <si>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</si>
  <si>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</si>
  <si>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Direccion Administrativa</t>
  </si>
  <si>
    <t>JA05</t>
  </si>
  <si>
    <t>Chavez Paz Pamela de Jesus</t>
  </si>
  <si>
    <t>Jefe de Operación</t>
  </si>
  <si>
    <t>V A C A N T E</t>
  </si>
  <si>
    <t>Abogado</t>
  </si>
  <si>
    <t>JA06</t>
  </si>
  <si>
    <t>Sanchez Garcia Jeronimo</t>
  </si>
  <si>
    <t>Jefatura de Vinculacion Administrativa</t>
  </si>
  <si>
    <t>JA08</t>
  </si>
  <si>
    <t>Martínez Ibarra José de Jesús</t>
  </si>
  <si>
    <t xml:space="preserve">Conserje </t>
  </si>
  <si>
    <t>JA09</t>
  </si>
  <si>
    <t xml:space="preserve">Nieves Servin Diego Alberto </t>
  </si>
  <si>
    <t>Auxiliar de Servicios Generales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</si>
  <si>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</si>
  <si>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</si>
  <si>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</si>
  <si>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</si>
  <si>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</si>
  <si>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</si>
  <si>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JA40</t>
  </si>
  <si>
    <t xml:space="preserve">Perez Gonzalez Maria Laura </t>
  </si>
  <si>
    <t>JA42</t>
  </si>
  <si>
    <t>Rodriguez Ramirez Xochitl</t>
  </si>
  <si>
    <t xml:space="preserve">Recepcionista </t>
  </si>
  <si>
    <t>JA44</t>
  </si>
  <si>
    <t>Lopez Aranda Lisette Amparo</t>
  </si>
  <si>
    <t>Auxiliar Administrativo</t>
  </si>
  <si>
    <t>JA45</t>
  </si>
  <si>
    <t>Flores Pozos Julio Cesar</t>
  </si>
  <si>
    <t>Coordinacion Financiera y Contable</t>
  </si>
  <si>
    <t>JA46</t>
  </si>
  <si>
    <t>Chavez Arriero Alma Rosa</t>
  </si>
  <si>
    <t>DEPARTAMENTO 4</t>
  </si>
  <si>
    <t>AREA MEDICA Y FISICA</t>
  </si>
  <si>
    <t>AM13</t>
  </si>
  <si>
    <t>Alatorre Rea Walter</t>
  </si>
  <si>
    <t>Medico</t>
  </si>
  <si>
    <t>AF12</t>
  </si>
  <si>
    <t>Rivas Tejeda Carlos Alberto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</si>
  <si>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</si>
  <si>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</si>
  <si>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</si>
  <si>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</si>
  <si>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</si>
  <si>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</si>
  <si>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</si>
  <si>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</si>
  <si>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</si>
  <si>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</si>
  <si>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</si>
  <si>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</si>
  <si>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</si>
  <si>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Chavez Martinez Elba Roxana</t>
  </si>
  <si>
    <t>AE42</t>
  </si>
  <si>
    <t>Rivas Guzman Ana Karen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</si>
  <si>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</si>
  <si>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</si>
  <si>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</si>
  <si>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</si>
  <si>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</si>
  <si>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</si>
  <si>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</si>
  <si>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AE43</t>
  </si>
  <si>
    <t>Espinoza Ramirez Jessica</t>
  </si>
  <si>
    <t>AE44</t>
  </si>
  <si>
    <t>Reyes Garcia Lorena Guadalupe</t>
  </si>
  <si>
    <t>AE23</t>
  </si>
  <si>
    <t>Flores Orozco Carolina</t>
  </si>
  <si>
    <t>Terapeuta (A y L)</t>
  </si>
  <si>
    <t>AE24</t>
  </si>
  <si>
    <t>Ortiz Anguiano Nélida Guadalupe</t>
  </si>
  <si>
    <t>AE45</t>
  </si>
  <si>
    <t>Salcedo Meza Silvia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</si>
  <si>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</si>
  <si>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</si>
  <si>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</si>
  <si>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</si>
  <si>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</si>
  <si>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</si>
  <si>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</si>
  <si>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</si>
  <si>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</si>
  <si>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</si>
  <si>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</si>
  <si>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</si>
  <si>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</si>
  <si>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</si>
  <si>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</si>
  <si>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</si>
  <si>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</si>
  <si>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</si>
  <si>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AE57</t>
  </si>
  <si>
    <t>Ramirez Gomez Gabriela</t>
  </si>
  <si>
    <t>Coordinadora Talleres</t>
  </si>
  <si>
    <t>AT28</t>
  </si>
  <si>
    <t>Ruiz Castorena Adriana Margarita</t>
  </si>
  <si>
    <t>AT36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</si>
  <si>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</si>
  <si>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</si>
  <si>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</si>
  <si>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</si>
  <si>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</si>
  <si>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</si>
  <si>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</si>
  <si>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</si>
  <si>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</si>
  <si>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DEPARTAMENTO 7</t>
  </si>
  <si>
    <t>AREA ESPECIALIZADA EN AUTISMO</t>
  </si>
  <si>
    <t>AU01</t>
  </si>
  <si>
    <t>Tiscareño Padilla Blanca Rubi</t>
  </si>
  <si>
    <t>Terapeuta en Autismo</t>
  </si>
  <si>
    <t>AU02</t>
  </si>
  <si>
    <t>Melgoza Gamez Carlos Alberto</t>
  </si>
  <si>
    <t>AU03</t>
  </si>
  <si>
    <t>Gomez Flores Claudia Viridiana</t>
  </si>
  <si>
    <t>AU04</t>
  </si>
  <si>
    <t>Gomez Herrera Karina</t>
  </si>
  <si>
    <t>AU05</t>
  </si>
  <si>
    <t>Aguilar Mariscal Sara Paola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</si>
  <si>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</si>
  <si>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</si>
  <si>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</si>
  <si>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</si>
  <si>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</si>
  <si>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Directora Administrativa</t>
  </si>
  <si>
    <t xml:space="preserve">                 </t>
  </si>
  <si>
    <t>ESTIMULO AL SERVIDOR PUBLICO   2022</t>
  </si>
  <si>
    <t>Estimulo al Servidor Publico</t>
  </si>
  <si>
    <t xml:space="preserve">DESCUENTO FALTAS Y LICENCIAS SGS  </t>
  </si>
  <si>
    <t>Jefe de Departamento</t>
  </si>
  <si>
    <t>Pamela de Jesus Chavez Paz</t>
  </si>
  <si>
    <t xml:space="preserve">Contador </t>
  </si>
  <si>
    <t>Coordinador Financiero Contable</t>
  </si>
  <si>
    <t>AT29</t>
  </si>
  <si>
    <t>AREA DE AUTISMO</t>
  </si>
  <si>
    <t>Estimulo</t>
  </si>
  <si>
    <t>Tope</t>
  </si>
  <si>
    <t>2DA  SEPTIEMBRE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</si>
</sst>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/>
      <top style="thin">
        <color rgb="FF0000FD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4" xfId="0" applyFont="1" applyBorder="1"/>
    <xf numFmtId="4" fontId="1" fillId="0" borderId="12" xfId="0" applyNumberFormat="1" applyFont="1" applyBorder="1"/>
    <xf numFmtId="4" fontId="1" fillId="0" borderId="14" xfId="0" applyNumberFormat="1" applyFont="1" applyBorder="1"/>
    <xf numFmtId="0" fontId="1" fillId="0" borderId="0" xfId="0" applyFont="1" applyFill="1"/>
    <xf numFmtId="0" fontId="3" fillId="0" borderId="0" xfId="0" applyFont="1" applyFill="1"/>
    <xf numFmtId="4" fontId="1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3" borderId="0" xfId="0" applyNumberFormat="1" applyFont="1" applyFill="1"/>
    <xf numFmtId="4" fontId="1" fillId="4" borderId="0" xfId="0" applyNumberFormat="1" applyFont="1" applyFill="1"/>
    <xf numFmtId="4" fontId="9" fillId="5" borderId="0" xfId="0" applyNumberFormat="1" applyFont="1" applyFill="1"/>
    <xf numFmtId="2" fontId="0" fillId="0" borderId="0" xfId="0" applyNumberFormat="1" applyFill="1"/>
    <xf numFmtId="2" fontId="1" fillId="6" borderId="0" xfId="0" applyNumberFormat="1" applyFont="1" applyFill="1"/>
    <xf numFmtId="44" fontId="1" fillId="0" borderId="0" xfId="0" applyNumberFormat="1" applyFont="1" applyFill="1"/>
    <xf numFmtId="0" fontId="0" fillId="0" borderId="0" xfId="0" applyFont="1" applyFill="1"/>
    <xf numFmtId="4" fontId="10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44" fontId="12" fillId="7" borderId="0" xfId="1" applyFont="1" applyFill="1"/>
    <xf numFmtId="4" fontId="13" fillId="0" borderId="0" xfId="0" applyNumberFormat="1" applyFont="1"/>
    <xf numFmtId="0" fontId="0" fillId="0" borderId="0" xfId="0" applyFont="1"/>
    <xf numFmtId="4" fontId="10" fillId="0" borderId="0" xfId="1" applyNumberFormat="1" applyFont="1" applyFill="1" applyAlignment="1">
      <alignment horizontal="center"/>
    </xf>
    <xf numFmtId="4" fontId="1" fillId="0" borderId="0" xfId="1" applyNumberFormat="1" applyFont="1" applyFill="1"/>
    <xf numFmtId="4" fontId="9" fillId="0" borderId="0" xfId="0" applyNumberFormat="1" applyFont="1" applyFill="1"/>
    <xf numFmtId="2" fontId="1" fillId="0" borderId="0" xfId="0" applyNumberFormat="1" applyFont="1" applyFill="1"/>
    <xf numFmtId="4" fontId="10" fillId="0" borderId="0" xfId="1" applyNumberFormat="1" applyFont="1" applyAlignment="1">
      <alignment horizontal="center"/>
    </xf>
    <xf numFmtId="2" fontId="0" fillId="0" borderId="0" xfId="0" applyNumberFormat="1"/>
    <xf numFmtId="4" fontId="10" fillId="0" borderId="0" xfId="0" applyNumberFormat="1" applyFont="1" applyAlignment="1">
      <alignment horizontal="center"/>
    </xf>
    <xf numFmtId="0" fontId="0" fillId="0" borderId="0" xfId="0" applyFill="1"/>
    <xf numFmtId="2" fontId="1" fillId="0" borderId="0" xfId="0" applyNumberFormat="1" applyFont="1"/>
    <xf numFmtId="44" fontId="1" fillId="4" borderId="0" xfId="0" applyNumberFormat="1" applyFont="1" applyFill="1"/>
    <xf numFmtId="4" fontId="1" fillId="6" borderId="0" xfId="0" applyNumberFormat="1" applyFont="1" applyFill="1"/>
    <xf numFmtId="4" fontId="9" fillId="8" borderId="0" xfId="0" applyNumberFormat="1" applyFont="1" applyFill="1"/>
    <xf numFmtId="4" fontId="1" fillId="0" borderId="0" xfId="0" applyNumberFormat="1" applyFont="1" applyFill="1" applyBorder="1"/>
    <xf numFmtId="4" fontId="1" fillId="9" borderId="0" xfId="0" applyNumberFormat="1" applyFont="1" applyFill="1"/>
    <xf numFmtId="4" fontId="14" fillId="5" borderId="0" xfId="0" applyNumberFormat="1" applyFont="1" applyFill="1"/>
    <xf numFmtId="4" fontId="13" fillId="0" borderId="0" xfId="0" applyNumberFormat="1" applyFont="1" applyFill="1"/>
    <xf numFmtId="0" fontId="0" fillId="0" borderId="0" xfId="0" applyAlignment="1">
      <alignment wrapText="1"/>
    </xf>
    <xf numFmtId="4" fontId="15" fillId="0" borderId="0" xfId="1" applyNumberFormat="1" applyFont="1"/>
    <xf numFmtId="4" fontId="4" fillId="0" borderId="0" xfId="1" applyNumberFormat="1" applyFont="1"/>
    <xf numFmtId="44" fontId="15" fillId="0" borderId="0" xfId="1" applyFont="1"/>
    <xf numFmtId="0" fontId="13" fillId="0" borderId="0" xfId="0" applyFont="1"/>
    <xf numFmtId="0" fontId="12" fillId="0" borderId="0" xfId="0" applyFont="1" applyAlignment="1">
      <alignment horizontal="right"/>
    </xf>
    <xf numFmtId="4" fontId="12" fillId="10" borderId="0" xfId="0" applyNumberFormat="1" applyFont="1" applyFill="1"/>
    <xf numFmtId="4" fontId="12" fillId="0" borderId="0" xfId="0" applyNumberFormat="1" applyFont="1"/>
    <xf numFmtId="44" fontId="3" fillId="0" borderId="0" xfId="0" applyNumberFormat="1" applyFont="1" applyFill="1"/>
    <xf numFmtId="0" fontId="1" fillId="0" borderId="0" xfId="0" applyFont="1" applyAlignment="1">
      <alignment horizontal="center"/>
    </xf>
    <xf numFmtId="0" fontId="16" fillId="0" borderId="16" xfId="0" applyFont="1" applyBorder="1" applyAlignment="1">
      <alignment horizontal="center"/>
    </xf>
    <xf numFmtId="4" fontId="9" fillId="9" borderId="0" xfId="0" applyNumberFormat="1" applyFont="1" applyFill="1"/>
    <xf numFmtId="4" fontId="1" fillId="0" borderId="0" xfId="1" applyNumberFormat="1" applyFont="1"/>
    <xf numFmtId="4" fontId="17" fillId="0" borderId="0" xfId="0" applyNumberFormat="1" applyFont="1"/>
    <xf numFmtId="4" fontId="10" fillId="0" borderId="0" xfId="0" applyNumberFormat="1" applyFont="1"/>
    <xf numFmtId="4" fontId="12" fillId="3" borderId="11" xfId="0" applyNumberFormat="1" applyFont="1" applyFill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16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156882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156882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5E2EECA-3E83-4153-8226-1B2C6BA1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8"/>
  <sheetViews>
    <sheetView workbookViewId="0">
      <selection sqref="A1:AB88"/>
    </sheetView>
  </sheetViews>
  <sheetFormatPr baseColWidth="10" defaultRowHeight="15" x14ac:dyDescent="0.25"/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</row>
    <row r="3" spans="1:28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1"/>
      <c r="Z3" s="1"/>
      <c r="AA3" s="1"/>
      <c r="AB3" s="1"/>
    </row>
    <row r="4" spans="1:28" ht="18.75" x14ac:dyDescent="0.25">
      <c r="A4" s="1"/>
      <c r="B4" s="78" t="s"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  <c r="W4" s="78"/>
      <c r="X4" s="78"/>
      <c r="Y4" s="78"/>
      <c r="Z4" s="78"/>
      <c r="AA4" s="78"/>
      <c r="AB4" s="78"/>
    </row>
    <row r="5" spans="1:28" ht="67.5" x14ac:dyDescent="0.25">
      <c r="A5" s="5"/>
      <c r="B5" s="6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1" t="s">
        <v>6</v>
      </c>
      <c r="H5" s="12" t="s">
        <v>7</v>
      </c>
      <c r="I5" s="13" t="s">
        <v>8</v>
      </c>
      <c r="J5" s="11" t="s">
        <v>9</v>
      </c>
      <c r="K5" s="11" t="s">
        <v>10</v>
      </c>
      <c r="L5" s="14" t="s">
        <v>11</v>
      </c>
      <c r="M5" s="14" t="s">
        <v>12</v>
      </c>
      <c r="N5" s="15" t="s">
        <v>13</v>
      </c>
      <c r="O5" s="8" t="s">
        <v>14</v>
      </c>
      <c r="P5" s="8" t="s">
        <v>15</v>
      </c>
      <c r="Q5" s="16" t="s">
        <v>16</v>
      </c>
      <c r="R5" s="10" t="s">
        <v>17</v>
      </c>
      <c r="S5" s="10" t="s">
        <v>18</v>
      </c>
      <c r="T5" s="17" t="s">
        <v>19</v>
      </c>
      <c r="U5" s="18" t="s">
        <v>20</v>
      </c>
      <c r="V5" s="19" t="s">
        <v>21</v>
      </c>
      <c r="W5" s="20" t="s">
        <v>22</v>
      </c>
      <c r="X5" s="21" t="s">
        <v>23</v>
      </c>
      <c r="Y5" s="16" t="s">
        <v>24</v>
      </c>
      <c r="Z5" s="16" t="s">
        <v>25</v>
      </c>
      <c r="AA5" s="22" t="s">
        <v>26</v>
      </c>
      <c r="AB5" s="22" t="s">
        <v>27</v>
      </c>
    </row>
    <row r="6" spans="1:28" ht="15.75" x14ac:dyDescent="0.25">
      <c r="A6" s="1"/>
      <c r="B6" s="23" t="s">
        <v>28</v>
      </c>
      <c r="C6" s="24" t="s">
        <v>29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3"/>
      <c r="R6" s="3"/>
      <c r="S6" s="3"/>
      <c r="T6" s="25"/>
      <c r="U6" s="3"/>
      <c r="V6" s="3"/>
      <c r="W6" s="25"/>
      <c r="X6" s="4"/>
      <c r="Y6" s="1"/>
      <c r="Z6" s="1"/>
      <c r="AA6" s="1"/>
      <c r="AB6" s="1"/>
    </row>
    <row r="7" spans="1:28" ht="21" x14ac:dyDescent="0.35">
      <c r="A7" s="27"/>
      <c r="B7" s="27" t="s">
        <v>30</v>
      </c>
      <c r="C7" s="28" t="s">
        <v>31</v>
      </c>
      <c r="D7" s="27" t="s">
        <v>32</v>
      </c>
      <c r="E7" s="29">
        <v>24148.799999999999</v>
      </c>
      <c r="F7" s="30">
        <v>15</v>
      </c>
      <c r="G7" s="31">
        <v>5000</v>
      </c>
      <c r="H7" s="29"/>
      <c r="I7" s="29"/>
      <c r="J7" s="29"/>
      <c r="K7" s="29"/>
      <c r="L7" s="29"/>
      <c r="M7" s="29"/>
      <c r="N7" s="29"/>
      <c r="O7" s="29"/>
      <c r="P7" s="29">
        <f>E7+-N7</f>
        <v>24148.799999999999</v>
      </c>
      <c r="Q7" s="29">
        <v>0</v>
      </c>
      <c r="R7" s="29"/>
      <c r="S7" s="29">
        <v>4885.82</v>
      </c>
      <c r="T7" s="29">
        <v>-0.13</v>
      </c>
      <c r="U7" s="32">
        <f>ROUND(E7*0.115,2)</f>
        <v>2777.11</v>
      </c>
      <c r="V7" s="29"/>
      <c r="W7" s="29">
        <f>SUM(S7:U7)+G7</f>
        <v>12662.8</v>
      </c>
      <c r="X7" s="33">
        <f>P7-W7</f>
        <v>11486</v>
      </c>
      <c r="Y7" s="34">
        <v>888.88</v>
      </c>
      <c r="Z7" s="29">
        <f>ROUND(+E7*17.5%,2)+ROUND(E7*3%,2)</f>
        <v>4950.5</v>
      </c>
      <c r="AA7" s="35">
        <f>ROUND(+E7*2%,2)</f>
        <v>482.98</v>
      </c>
      <c r="AB7" s="36">
        <f>SUM(Y7:AA7)</f>
        <v>6322.3600000000006</v>
      </c>
    </row>
    <row r="8" spans="1:28" ht="21" x14ac:dyDescent="0.35">
      <c r="A8" s="27"/>
      <c r="B8" s="37" t="s">
        <v>33</v>
      </c>
      <c r="C8" s="28" t="s">
        <v>34</v>
      </c>
      <c r="D8" s="27" t="s">
        <v>35</v>
      </c>
      <c r="E8" s="29">
        <v>6955</v>
      </c>
      <c r="F8" s="30">
        <v>15</v>
      </c>
      <c r="G8" s="29"/>
      <c r="H8" s="29"/>
      <c r="I8" s="29"/>
      <c r="J8" s="29"/>
      <c r="K8" s="29"/>
      <c r="L8" s="29"/>
      <c r="M8" s="29"/>
      <c r="N8" s="38">
        <v>15.46</v>
      </c>
      <c r="O8" s="29"/>
      <c r="P8" s="29">
        <f>E8+-N8</f>
        <v>6939.54</v>
      </c>
      <c r="Q8" s="29">
        <v>0</v>
      </c>
      <c r="R8" s="29"/>
      <c r="S8" s="29">
        <v>774.5</v>
      </c>
      <c r="T8" s="29">
        <v>0.01</v>
      </c>
      <c r="U8" s="32">
        <f>ROUND(E8*0.115,2)</f>
        <v>799.83</v>
      </c>
      <c r="V8" s="29"/>
      <c r="W8" s="29">
        <f>SUM(S8:U8)+G8</f>
        <v>1574.3400000000001</v>
      </c>
      <c r="X8" s="33">
        <f>P8-W8</f>
        <v>5365.2</v>
      </c>
      <c r="Y8" s="34">
        <v>419.39</v>
      </c>
      <c r="Z8" s="29">
        <f>ROUND(+E8*17.5%,2)+ROUND(E8*3%,2)</f>
        <v>1425.7800000000002</v>
      </c>
      <c r="AA8" s="35">
        <f>ROUND(+E8*2%,2)</f>
        <v>139.1</v>
      </c>
      <c r="AB8" s="36">
        <f>SUM(Y8:AA8)</f>
        <v>1984.27</v>
      </c>
    </row>
    <row r="9" spans="1:28" ht="18.75" x14ac:dyDescent="0.3">
      <c r="A9" s="1"/>
      <c r="B9" s="39" t="s">
        <v>36</v>
      </c>
      <c r="C9" s="40"/>
      <c r="D9" s="41"/>
      <c r="E9" s="42">
        <f>SUM(E7:E8)</f>
        <v>31103.8</v>
      </c>
      <c r="F9" s="42"/>
      <c r="G9" s="42">
        <f>+G8+G7</f>
        <v>5000</v>
      </c>
      <c r="H9" s="42"/>
      <c r="I9" s="42"/>
      <c r="J9" s="42"/>
      <c r="K9" s="42"/>
      <c r="L9" s="42"/>
      <c r="M9" s="42"/>
      <c r="N9" s="42">
        <f>SUM(N7:N8)</f>
        <v>15.46</v>
      </c>
      <c r="O9" s="42">
        <f>SUM(O7:O8)</f>
        <v>0</v>
      </c>
      <c r="P9" s="42">
        <f>SUM(P7:P8)</f>
        <v>31088.34</v>
      </c>
      <c r="Q9" s="42">
        <f t="shared" ref="Q9:AB9" si="0">SUM(Q7:Q8)</f>
        <v>0</v>
      </c>
      <c r="R9" s="42">
        <f t="shared" si="0"/>
        <v>0</v>
      </c>
      <c r="S9" s="42">
        <f t="shared" si="0"/>
        <v>5660.32</v>
      </c>
      <c r="T9" s="42">
        <f t="shared" si="0"/>
        <v>-0.12000000000000001</v>
      </c>
      <c r="U9" s="42">
        <f>SUM(U7:U8)</f>
        <v>3576.94</v>
      </c>
      <c r="V9" s="42"/>
      <c r="W9" s="42">
        <f t="shared" si="0"/>
        <v>14237.14</v>
      </c>
      <c r="X9" s="42">
        <f>SUM(X7:X8)</f>
        <v>16851.2</v>
      </c>
      <c r="Y9" s="42">
        <f t="shared" si="0"/>
        <v>1308.27</v>
      </c>
      <c r="Z9" s="42">
        <f t="shared" si="0"/>
        <v>6376.2800000000007</v>
      </c>
      <c r="AA9" s="42">
        <f t="shared" si="0"/>
        <v>622.08000000000004</v>
      </c>
      <c r="AB9" s="42">
        <f t="shared" si="0"/>
        <v>8306.630000000001</v>
      </c>
    </row>
    <row r="10" spans="1:28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3"/>
      <c r="Y10" s="1"/>
      <c r="Z10" s="1"/>
      <c r="AA10" s="1"/>
      <c r="AB10" s="1"/>
    </row>
    <row r="11" spans="1:28" ht="18.75" x14ac:dyDescent="0.3">
      <c r="A11" s="1"/>
      <c r="B11" s="23" t="s">
        <v>37</v>
      </c>
      <c r="C11" s="40" t="s">
        <v>38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3"/>
      <c r="Y11" s="1"/>
      <c r="Z11" s="1"/>
      <c r="AA11" s="1"/>
      <c r="AB11" s="1"/>
    </row>
    <row r="12" spans="1:28" ht="21" x14ac:dyDescent="0.35">
      <c r="A12" s="27"/>
      <c r="B12" s="27" t="s">
        <v>39</v>
      </c>
      <c r="C12" s="28" t="s">
        <v>40</v>
      </c>
      <c r="D12" s="37" t="s">
        <v>41</v>
      </c>
      <c r="E12" s="29">
        <v>14250</v>
      </c>
      <c r="F12" s="30">
        <v>15</v>
      </c>
      <c r="G12" s="29"/>
      <c r="H12" s="29"/>
      <c r="I12" s="29"/>
      <c r="J12" s="29"/>
      <c r="K12" s="29"/>
      <c r="L12" s="29"/>
      <c r="M12" s="29"/>
      <c r="N12" s="29"/>
      <c r="O12" s="29"/>
      <c r="P12" s="29">
        <f>E12+-N12</f>
        <v>14250</v>
      </c>
      <c r="Q12" s="29">
        <v>0</v>
      </c>
      <c r="R12" s="29"/>
      <c r="S12" s="29">
        <v>2352.86</v>
      </c>
      <c r="T12" s="29">
        <v>-0.01</v>
      </c>
      <c r="U12" s="32">
        <f>ROUND(E12*0.115,2)</f>
        <v>1638.75</v>
      </c>
      <c r="V12" s="29"/>
      <c r="W12" s="29">
        <f>SUM(S12:U12)+G12</f>
        <v>3991.6</v>
      </c>
      <c r="X12" s="33">
        <f>P12-W12</f>
        <v>10258.4</v>
      </c>
      <c r="Y12" s="34">
        <v>618.59</v>
      </c>
      <c r="Z12" s="29">
        <f>ROUND(+E12*17.5%,2)+ROUND(E12*3%,2)</f>
        <v>2921.25</v>
      </c>
      <c r="AA12" s="35">
        <f>ROUND(+E12*2%,2)</f>
        <v>285</v>
      </c>
      <c r="AB12" s="36">
        <f t="shared" ref="AB12:AB24" si="1">SUM(Y12:AA12)</f>
        <v>3824.84</v>
      </c>
    </row>
    <row r="13" spans="1:28" ht="21" x14ac:dyDescent="0.35">
      <c r="A13" s="1"/>
      <c r="B13" s="44" t="s">
        <v>42</v>
      </c>
      <c r="C13" s="28" t="s">
        <v>43</v>
      </c>
      <c r="D13" s="44" t="s">
        <v>44</v>
      </c>
      <c r="E13" s="29">
        <v>12500</v>
      </c>
      <c r="F13" s="30">
        <v>15</v>
      </c>
      <c r="G13" s="29"/>
      <c r="H13" s="29"/>
      <c r="I13" s="29"/>
      <c r="J13" s="29"/>
      <c r="K13" s="29"/>
      <c r="L13" s="29"/>
      <c r="M13" s="29"/>
      <c r="N13" s="45">
        <v>1.98</v>
      </c>
      <c r="O13" s="46"/>
      <c r="P13" s="29">
        <f t="shared" ref="P13:P24" si="2">E13+-N13</f>
        <v>12498.02</v>
      </c>
      <c r="Q13" s="29">
        <v>0</v>
      </c>
      <c r="R13" s="29"/>
      <c r="S13" s="29">
        <v>1958.89</v>
      </c>
      <c r="T13" s="29">
        <v>0.23</v>
      </c>
      <c r="U13" s="32">
        <f>ROUND(E13*0.115,2)</f>
        <v>1437.5</v>
      </c>
      <c r="V13" s="29"/>
      <c r="W13" s="29">
        <f>SUM(S13:U13)+G13</f>
        <v>3396.62</v>
      </c>
      <c r="X13" s="33">
        <f>P13-W13</f>
        <v>9101.4000000000015</v>
      </c>
      <c r="Y13" s="34">
        <v>570.79999999999995</v>
      </c>
      <c r="Z13" s="29">
        <f>ROUND(+E13*17.5%,2)+ROUND(E13*3%,2)</f>
        <v>2562.5</v>
      </c>
      <c r="AA13" s="35">
        <f>ROUND(+E13*2%,2)</f>
        <v>250</v>
      </c>
      <c r="AB13" s="36">
        <f t="shared" si="1"/>
        <v>3383.3</v>
      </c>
    </row>
    <row r="14" spans="1:28" ht="21" x14ac:dyDescent="0.35">
      <c r="A14" s="27"/>
      <c r="B14" s="27" t="s">
        <v>42</v>
      </c>
      <c r="C14" s="28" t="s">
        <v>45</v>
      </c>
      <c r="D14" s="27" t="s">
        <v>46</v>
      </c>
      <c r="E14" s="29"/>
      <c r="F14" s="30"/>
      <c r="G14" s="29"/>
      <c r="H14" s="29"/>
      <c r="I14" s="29"/>
      <c r="J14" s="29"/>
      <c r="K14" s="29"/>
      <c r="L14" s="29"/>
      <c r="M14" s="29"/>
      <c r="N14" s="45"/>
      <c r="O14" s="46"/>
      <c r="P14" s="29">
        <f t="shared" si="2"/>
        <v>0</v>
      </c>
      <c r="Q14" s="29"/>
      <c r="R14" s="29"/>
      <c r="S14" s="29"/>
      <c r="T14" s="29"/>
      <c r="U14" s="29"/>
      <c r="V14" s="29"/>
      <c r="W14" s="29"/>
      <c r="X14" s="47"/>
      <c r="Y14" s="34"/>
      <c r="Z14" s="29"/>
      <c r="AA14" s="48"/>
      <c r="AB14" s="36">
        <f t="shared" si="1"/>
        <v>0</v>
      </c>
    </row>
    <row r="15" spans="1:28" ht="21" x14ac:dyDescent="0.35">
      <c r="A15" s="27"/>
      <c r="B15" s="27" t="s">
        <v>47</v>
      </c>
      <c r="C15" s="28" t="s">
        <v>48</v>
      </c>
      <c r="D15" s="37" t="s">
        <v>49</v>
      </c>
      <c r="E15" s="29">
        <v>9525</v>
      </c>
      <c r="F15" s="30">
        <v>15</v>
      </c>
      <c r="G15" s="31">
        <v>2000</v>
      </c>
      <c r="H15" s="29"/>
      <c r="I15" s="29"/>
      <c r="J15" s="29"/>
      <c r="K15" s="29"/>
      <c r="L15" s="29"/>
      <c r="M15" s="29"/>
      <c r="N15" s="45">
        <v>66.52</v>
      </c>
      <c r="O15" s="46"/>
      <c r="P15" s="29">
        <f t="shared" si="2"/>
        <v>9458.48</v>
      </c>
      <c r="Q15" s="29">
        <v>0</v>
      </c>
      <c r="R15" s="29"/>
      <c r="S15" s="29">
        <v>1323.44</v>
      </c>
      <c r="T15" s="29">
        <v>0.06</v>
      </c>
      <c r="U15" s="32">
        <f t="shared" ref="U15:U24" si="3">ROUND(E15*0.115,2)</f>
        <v>1095.3800000000001</v>
      </c>
      <c r="V15" s="29"/>
      <c r="W15" s="29">
        <f t="shared" ref="W15:W22" si="4">SUM(S15:U15)+G15</f>
        <v>4418.88</v>
      </c>
      <c r="X15" s="33">
        <f t="shared" ref="X15:X24" si="5">P15-W15</f>
        <v>5039.5999999999995</v>
      </c>
      <c r="Y15" s="34">
        <v>489.57</v>
      </c>
      <c r="Z15" s="29">
        <f t="shared" ref="Z15:Z24" si="6">ROUND(+E15*17.5%,2)+ROUND(E15*3%,2)</f>
        <v>1952.63</v>
      </c>
      <c r="AA15" s="35">
        <f t="shared" ref="AA15:AA24" si="7">ROUND(+E15*2%,2)</f>
        <v>190.5</v>
      </c>
      <c r="AB15" s="36">
        <f t="shared" si="1"/>
        <v>2632.7000000000003</v>
      </c>
    </row>
    <row r="16" spans="1:28" ht="21" x14ac:dyDescent="0.35">
      <c r="A16" s="1"/>
      <c r="B16" s="1" t="s">
        <v>50</v>
      </c>
      <c r="C16" s="2" t="s">
        <v>51</v>
      </c>
      <c r="D16" s="1" t="s">
        <v>52</v>
      </c>
      <c r="E16" s="3"/>
      <c r="F16" s="77"/>
      <c r="G16" s="31"/>
      <c r="H16" s="3"/>
      <c r="I16" s="3"/>
      <c r="J16" s="3"/>
      <c r="K16" s="3"/>
      <c r="L16" s="3"/>
      <c r="M16" s="3"/>
      <c r="N16" s="49"/>
      <c r="O16" s="3"/>
      <c r="P16" s="29">
        <f t="shared" si="2"/>
        <v>0</v>
      </c>
      <c r="Q16" s="3">
        <v>0</v>
      </c>
      <c r="R16" s="3"/>
      <c r="S16" s="3"/>
      <c r="T16" s="3"/>
      <c r="U16" s="32">
        <f t="shared" si="3"/>
        <v>0</v>
      </c>
      <c r="V16" s="29"/>
      <c r="W16" s="3">
        <f t="shared" si="4"/>
        <v>0</v>
      </c>
      <c r="X16" s="33">
        <f t="shared" si="5"/>
        <v>0</v>
      </c>
      <c r="Y16" s="50">
        <v>385.6</v>
      </c>
      <c r="Z16" s="3">
        <f t="shared" si="6"/>
        <v>0</v>
      </c>
      <c r="AA16" s="35">
        <f t="shared" si="7"/>
        <v>0</v>
      </c>
      <c r="AB16" s="36">
        <f t="shared" si="1"/>
        <v>385.6</v>
      </c>
    </row>
    <row r="17" spans="1:28" ht="21" x14ac:dyDescent="0.35">
      <c r="A17" s="1"/>
      <c r="B17" t="s">
        <v>53</v>
      </c>
      <c r="C17" s="2" t="s">
        <v>54</v>
      </c>
      <c r="D17" t="s">
        <v>55</v>
      </c>
      <c r="E17" s="3">
        <v>5717.23</v>
      </c>
      <c r="F17" s="77">
        <v>15</v>
      </c>
      <c r="G17" s="31">
        <v>442.21</v>
      </c>
      <c r="H17" s="3"/>
      <c r="I17" s="3"/>
      <c r="J17" s="3"/>
      <c r="K17" s="3"/>
      <c r="L17" s="3"/>
      <c r="M17" s="3"/>
      <c r="N17" s="51"/>
      <c r="O17" s="3"/>
      <c r="P17" s="29">
        <f t="shared" si="2"/>
        <v>5717.23</v>
      </c>
      <c r="Q17" s="3"/>
      <c r="R17" s="3"/>
      <c r="S17" s="3">
        <v>540.55999999999995</v>
      </c>
      <c r="T17" s="3">
        <v>-0.02</v>
      </c>
      <c r="U17" s="32">
        <f t="shared" si="3"/>
        <v>657.48</v>
      </c>
      <c r="V17" s="29"/>
      <c r="W17" s="3">
        <f t="shared" si="4"/>
        <v>1640.23</v>
      </c>
      <c r="X17" s="33">
        <f t="shared" si="5"/>
        <v>4076.9999999999995</v>
      </c>
      <c r="Y17" s="50">
        <v>385.6</v>
      </c>
      <c r="Z17" s="3">
        <f t="shared" si="6"/>
        <v>1172.04</v>
      </c>
      <c r="AA17" s="35">
        <f t="shared" si="7"/>
        <v>114.34</v>
      </c>
      <c r="AB17" s="36">
        <f t="shared" si="1"/>
        <v>1671.9799999999998</v>
      </c>
    </row>
    <row r="18" spans="1:28" ht="21" x14ac:dyDescent="0.35">
      <c r="A18" s="1"/>
      <c r="B18" s="1" t="s">
        <v>56</v>
      </c>
      <c r="C18" s="2" t="s">
        <v>57</v>
      </c>
      <c r="D18" s="1" t="s">
        <v>58</v>
      </c>
      <c r="E18" s="3">
        <v>5169.53</v>
      </c>
      <c r="F18" s="77">
        <v>15</v>
      </c>
      <c r="G18" s="31">
        <v>2585</v>
      </c>
      <c r="H18" s="3"/>
      <c r="I18" s="3"/>
      <c r="J18" s="3"/>
      <c r="K18" s="3"/>
      <c r="L18" s="3"/>
      <c r="M18" s="3"/>
      <c r="N18" s="51"/>
      <c r="O18" s="3"/>
      <c r="P18" s="29">
        <f t="shared" si="2"/>
        <v>5169.53</v>
      </c>
      <c r="Q18" s="3"/>
      <c r="R18" s="3"/>
      <c r="S18" s="3">
        <v>449.05</v>
      </c>
      <c r="T18" s="3">
        <v>-0.22</v>
      </c>
      <c r="U18" s="32">
        <f t="shared" si="3"/>
        <v>594.5</v>
      </c>
      <c r="V18" s="29"/>
      <c r="W18" s="3">
        <f t="shared" si="4"/>
        <v>3628.33</v>
      </c>
      <c r="X18" s="33">
        <f t="shared" si="5"/>
        <v>1541.1999999999998</v>
      </c>
      <c r="Y18" s="50">
        <v>370.64</v>
      </c>
      <c r="Z18" s="3">
        <f t="shared" si="6"/>
        <v>1059.76</v>
      </c>
      <c r="AA18" s="35">
        <f t="shared" si="7"/>
        <v>103.39</v>
      </c>
      <c r="AB18" s="36">
        <f t="shared" si="1"/>
        <v>1533.7900000000002</v>
      </c>
    </row>
    <row r="19" spans="1:28" ht="21" x14ac:dyDescent="0.35">
      <c r="A19" s="1"/>
      <c r="B19" s="1" t="s">
        <v>59</v>
      </c>
      <c r="C19" s="2" t="s">
        <v>60</v>
      </c>
      <c r="D19" s="1" t="s">
        <v>61</v>
      </c>
      <c r="E19" s="3">
        <v>5717.23</v>
      </c>
      <c r="F19" s="77">
        <v>15</v>
      </c>
      <c r="G19" s="31">
        <v>1699.53</v>
      </c>
      <c r="H19" s="51"/>
      <c r="I19" s="51"/>
      <c r="J19" s="51"/>
      <c r="K19" s="51"/>
      <c r="L19" s="51"/>
      <c r="M19" s="51"/>
      <c r="N19" s="49">
        <v>2.72</v>
      </c>
      <c r="O19" s="3"/>
      <c r="P19" s="29">
        <f t="shared" si="2"/>
        <v>5714.5099999999993</v>
      </c>
      <c r="Q19" s="3"/>
      <c r="R19" s="3"/>
      <c r="S19" s="3">
        <v>540.55999999999995</v>
      </c>
      <c r="T19" s="3">
        <v>-0.06</v>
      </c>
      <c r="U19" s="32">
        <f t="shared" si="3"/>
        <v>657.48</v>
      </c>
      <c r="V19" s="29"/>
      <c r="W19" s="3">
        <f t="shared" si="4"/>
        <v>2897.51</v>
      </c>
      <c r="X19" s="33">
        <f t="shared" si="5"/>
        <v>2816.9999999999991</v>
      </c>
      <c r="Y19" s="50">
        <v>385.6</v>
      </c>
      <c r="Z19" s="3">
        <f t="shared" si="6"/>
        <v>1172.04</v>
      </c>
      <c r="AA19" s="35">
        <f t="shared" si="7"/>
        <v>114.34</v>
      </c>
      <c r="AB19" s="36">
        <f t="shared" si="1"/>
        <v>1671.9799999999998</v>
      </c>
    </row>
    <row r="20" spans="1:28" ht="21" x14ac:dyDescent="0.35">
      <c r="A20" s="1"/>
      <c r="B20" t="s">
        <v>62</v>
      </c>
      <c r="C20" s="2" t="s">
        <v>63</v>
      </c>
      <c r="D20" t="s">
        <v>58</v>
      </c>
      <c r="E20" s="3">
        <v>5169.53</v>
      </c>
      <c r="F20" s="77">
        <v>15</v>
      </c>
      <c r="G20" s="31">
        <v>1231</v>
      </c>
      <c r="H20" s="3"/>
      <c r="I20" s="3"/>
      <c r="J20" s="3"/>
      <c r="K20" s="3"/>
      <c r="L20" s="3"/>
      <c r="M20" s="3"/>
      <c r="N20" s="51">
        <v>4.0999999999999996</v>
      </c>
      <c r="O20" s="3"/>
      <c r="P20" s="29">
        <f t="shared" si="2"/>
        <v>5165.4299999999994</v>
      </c>
      <c r="Q20" s="3"/>
      <c r="R20" s="3"/>
      <c r="S20" s="3">
        <v>449.05</v>
      </c>
      <c r="T20" s="3">
        <v>-0.12</v>
      </c>
      <c r="U20" s="32">
        <f t="shared" si="3"/>
        <v>594.5</v>
      </c>
      <c r="V20" s="29"/>
      <c r="W20" s="3">
        <f t="shared" si="4"/>
        <v>2274.4300000000003</v>
      </c>
      <c r="X20" s="33">
        <f t="shared" si="5"/>
        <v>2890.9999999999991</v>
      </c>
      <c r="Y20" s="50">
        <v>370.64</v>
      </c>
      <c r="Z20" s="3">
        <f t="shared" si="6"/>
        <v>1059.76</v>
      </c>
      <c r="AA20" s="35">
        <f t="shared" si="7"/>
        <v>103.39</v>
      </c>
      <c r="AB20" s="36">
        <f t="shared" si="1"/>
        <v>1533.7900000000002</v>
      </c>
    </row>
    <row r="21" spans="1:28" ht="21" x14ac:dyDescent="0.35">
      <c r="A21" s="27"/>
      <c r="B21" s="52" t="s">
        <v>64</v>
      </c>
      <c r="C21" s="28" t="s">
        <v>65</v>
      </c>
      <c r="D21" s="52" t="s">
        <v>66</v>
      </c>
      <c r="E21" s="29">
        <v>5528.8</v>
      </c>
      <c r="F21" s="30">
        <v>15</v>
      </c>
      <c r="G21" s="29"/>
      <c r="H21" s="38"/>
      <c r="I21" s="38"/>
      <c r="J21" s="38"/>
      <c r="K21" s="38"/>
      <c r="L21" s="38"/>
      <c r="M21" s="38"/>
      <c r="N21" s="45"/>
      <c r="O21" s="29"/>
      <c r="P21" s="29">
        <f t="shared" si="2"/>
        <v>5528.8</v>
      </c>
      <c r="Q21" s="29"/>
      <c r="R21" s="29"/>
      <c r="S21" s="29">
        <v>506.8</v>
      </c>
      <c r="T21" s="29">
        <v>-0.01</v>
      </c>
      <c r="U21" s="32">
        <f t="shared" si="3"/>
        <v>635.80999999999995</v>
      </c>
      <c r="V21" s="29"/>
      <c r="W21" s="3">
        <f t="shared" si="4"/>
        <v>1142.5999999999999</v>
      </c>
      <c r="X21" s="47">
        <f t="shared" si="5"/>
        <v>4386.2000000000007</v>
      </c>
      <c r="Y21" s="34">
        <v>380.45</v>
      </c>
      <c r="Z21" s="3">
        <f t="shared" si="6"/>
        <v>1133.4000000000001</v>
      </c>
      <c r="AA21" s="35">
        <f t="shared" si="7"/>
        <v>110.58</v>
      </c>
      <c r="AB21" s="36">
        <f t="shared" si="1"/>
        <v>1624.43</v>
      </c>
    </row>
    <row r="22" spans="1:28" ht="21" x14ac:dyDescent="0.35">
      <c r="A22" s="1"/>
      <c r="B22" s="52" t="s">
        <v>67</v>
      </c>
      <c r="C22" s="2" t="s">
        <v>68</v>
      </c>
      <c r="D22" t="s">
        <v>69</v>
      </c>
      <c r="E22" s="3">
        <v>6955</v>
      </c>
      <c r="F22" s="77">
        <v>15</v>
      </c>
      <c r="G22" s="29"/>
      <c r="H22" s="3"/>
      <c r="I22" s="3"/>
      <c r="J22" s="3"/>
      <c r="K22" s="3"/>
      <c r="L22" s="3"/>
      <c r="M22" s="3"/>
      <c r="N22" s="51"/>
      <c r="O22" s="3"/>
      <c r="P22" s="29">
        <f t="shared" si="2"/>
        <v>6955</v>
      </c>
      <c r="Q22" s="3"/>
      <c r="R22" s="3"/>
      <c r="S22" s="29">
        <v>774.5</v>
      </c>
      <c r="T22" s="3">
        <v>-0.13</v>
      </c>
      <c r="U22" s="32">
        <f t="shared" si="3"/>
        <v>799.83</v>
      </c>
      <c r="V22" s="29"/>
      <c r="W22" s="3">
        <f t="shared" si="4"/>
        <v>1574.2</v>
      </c>
      <c r="X22" s="33">
        <f t="shared" si="5"/>
        <v>5380.8</v>
      </c>
      <c r="Y22" s="50">
        <v>419.39</v>
      </c>
      <c r="Z22" s="3">
        <f t="shared" si="6"/>
        <v>1425.7800000000002</v>
      </c>
      <c r="AA22" s="35">
        <f t="shared" si="7"/>
        <v>139.1</v>
      </c>
      <c r="AB22" s="36">
        <f t="shared" si="1"/>
        <v>1984.27</v>
      </c>
    </row>
    <row r="23" spans="1:28" ht="21" x14ac:dyDescent="0.35">
      <c r="A23" s="1"/>
      <c r="B23" s="44" t="s">
        <v>70</v>
      </c>
      <c r="C23" s="2" t="s">
        <v>71</v>
      </c>
      <c r="D23" s="44" t="s">
        <v>72</v>
      </c>
      <c r="E23" s="3">
        <v>8214.2800000000007</v>
      </c>
      <c r="F23" s="77">
        <v>15</v>
      </c>
      <c r="G23" s="3"/>
      <c r="H23" s="3"/>
      <c r="I23" s="3"/>
      <c r="J23" s="3"/>
      <c r="K23" s="3"/>
      <c r="L23" s="3"/>
      <c r="M23" s="3"/>
      <c r="N23" s="49"/>
      <c r="O23" s="3"/>
      <c r="P23" s="29">
        <f t="shared" si="2"/>
        <v>8214.2800000000007</v>
      </c>
      <c r="Q23" s="3">
        <v>0</v>
      </c>
      <c r="R23" s="3"/>
      <c r="S23" s="3">
        <v>1043.47</v>
      </c>
      <c r="T23" s="3">
        <v>0.17</v>
      </c>
      <c r="U23" s="32">
        <f t="shared" si="3"/>
        <v>944.64</v>
      </c>
      <c r="V23" s="29"/>
      <c r="W23" s="3">
        <f>SUM(S23:V23)+G23</f>
        <v>1988.2800000000002</v>
      </c>
      <c r="X23" s="33">
        <f t="shared" si="5"/>
        <v>6226</v>
      </c>
      <c r="Y23" s="50">
        <v>453.78</v>
      </c>
      <c r="Z23" s="3">
        <f t="shared" si="6"/>
        <v>1683.93</v>
      </c>
      <c r="AA23" s="35">
        <f t="shared" si="7"/>
        <v>164.29</v>
      </c>
      <c r="AB23" s="36">
        <f t="shared" si="1"/>
        <v>2302</v>
      </c>
    </row>
    <row r="24" spans="1:28" ht="21" x14ac:dyDescent="0.35">
      <c r="A24" s="1"/>
      <c r="B24" s="44" t="s">
        <v>73</v>
      </c>
      <c r="C24" s="2" t="s">
        <v>74</v>
      </c>
      <c r="D24" s="44" t="s">
        <v>69</v>
      </c>
      <c r="E24" s="3">
        <v>5500</v>
      </c>
      <c r="F24" s="77">
        <v>15</v>
      </c>
      <c r="G24" s="3"/>
      <c r="H24" s="3"/>
      <c r="I24" s="3"/>
      <c r="J24" s="3"/>
      <c r="K24" s="3"/>
      <c r="L24" s="3"/>
      <c r="M24" s="3"/>
      <c r="N24" s="49">
        <v>0.87</v>
      </c>
      <c r="O24" s="3"/>
      <c r="P24" s="29">
        <f t="shared" si="2"/>
        <v>5499.13</v>
      </c>
      <c r="Q24" s="3">
        <v>0</v>
      </c>
      <c r="R24" s="3"/>
      <c r="S24" s="3">
        <v>501.93</v>
      </c>
      <c r="T24" s="3">
        <v>-0.1</v>
      </c>
      <c r="U24" s="32">
        <f t="shared" si="3"/>
        <v>632.5</v>
      </c>
      <c r="V24" s="29"/>
      <c r="W24" s="3">
        <f>SUM(S24:U24)+G24</f>
        <v>1134.33</v>
      </c>
      <c r="X24" s="33">
        <f t="shared" si="5"/>
        <v>4364.8</v>
      </c>
      <c r="Y24" s="50">
        <v>379.67</v>
      </c>
      <c r="Z24" s="3">
        <f t="shared" si="6"/>
        <v>1127.5</v>
      </c>
      <c r="AA24" s="35">
        <f t="shared" si="7"/>
        <v>110</v>
      </c>
      <c r="AB24" s="36">
        <f t="shared" si="1"/>
        <v>1617.17</v>
      </c>
    </row>
    <row r="25" spans="1:28" ht="18.75" x14ac:dyDescent="0.3">
      <c r="A25" s="1"/>
      <c r="B25" s="23" t="s">
        <v>36</v>
      </c>
      <c r="C25" s="40"/>
      <c r="D25" s="41"/>
      <c r="E25" s="42">
        <f>SUM(E12:E24)</f>
        <v>84246.599999999991</v>
      </c>
      <c r="F25" s="42"/>
      <c r="G25" s="42">
        <f>SUM(G12:G24)</f>
        <v>7957.74</v>
      </c>
      <c r="H25" s="42" t="e">
        <f>+#REF!+H18+H16+H12+H14+H15+H19</f>
        <v>#REF!</v>
      </c>
      <c r="I25" s="42"/>
      <c r="J25" s="42"/>
      <c r="K25" s="42"/>
      <c r="L25" s="42"/>
      <c r="M25" s="42"/>
      <c r="N25" s="42">
        <f>SUM(N12:N24)</f>
        <v>76.19</v>
      </c>
      <c r="O25" s="42">
        <f>SUM(O12:O22)</f>
        <v>0</v>
      </c>
      <c r="P25" s="42">
        <f t="shared" ref="P25:AB25" si="8">SUM(P12:P24)</f>
        <v>84170.41</v>
      </c>
      <c r="Q25" s="42">
        <f t="shared" si="8"/>
        <v>0</v>
      </c>
      <c r="R25" s="42">
        <f t="shared" si="8"/>
        <v>0</v>
      </c>
      <c r="S25" s="42">
        <f t="shared" si="8"/>
        <v>10441.11</v>
      </c>
      <c r="T25" s="42">
        <f t="shared" si="8"/>
        <v>-0.21000000000000002</v>
      </c>
      <c r="U25" s="42">
        <f t="shared" si="8"/>
        <v>9688.369999999999</v>
      </c>
      <c r="V25" s="42">
        <f t="shared" si="8"/>
        <v>0</v>
      </c>
      <c r="W25" s="42">
        <f t="shared" si="8"/>
        <v>28087.009999999995</v>
      </c>
      <c r="X25" s="42">
        <f t="shared" si="8"/>
        <v>56083.400000000009</v>
      </c>
      <c r="Y25" s="42">
        <f t="shared" si="8"/>
        <v>5210.329999999999</v>
      </c>
      <c r="Z25" s="42">
        <f t="shared" si="8"/>
        <v>17270.590000000004</v>
      </c>
      <c r="AA25" s="42">
        <f t="shared" si="8"/>
        <v>1684.9299999999998</v>
      </c>
      <c r="AB25" s="42">
        <f t="shared" si="8"/>
        <v>24165.85</v>
      </c>
    </row>
    <row r="26" spans="1:28" ht="18.75" x14ac:dyDescent="0.3">
      <c r="A26" s="1"/>
      <c r="B26" s="23"/>
      <c r="C26" s="2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3"/>
      <c r="Y26" s="1"/>
      <c r="Z26" s="1"/>
      <c r="AA26" s="1"/>
      <c r="AB26" s="1"/>
    </row>
    <row r="27" spans="1:28" ht="18.75" x14ac:dyDescent="0.3">
      <c r="A27" s="1"/>
      <c r="B27" s="23" t="s">
        <v>75</v>
      </c>
      <c r="C27" s="40" t="s">
        <v>76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3"/>
      <c r="Y27" s="1"/>
      <c r="Z27" s="1"/>
      <c r="AA27" s="1"/>
      <c r="AB27" s="1"/>
    </row>
    <row r="28" spans="1:28" ht="21" x14ac:dyDescent="0.35">
      <c r="A28" s="1"/>
      <c r="B28" s="1" t="s">
        <v>77</v>
      </c>
      <c r="C28" s="2" t="s">
        <v>78</v>
      </c>
      <c r="D28" t="s">
        <v>79</v>
      </c>
      <c r="E28" s="3">
        <v>8007.06</v>
      </c>
      <c r="F28" s="77">
        <v>15</v>
      </c>
      <c r="G28" s="3"/>
      <c r="H28" s="3"/>
      <c r="I28" s="3"/>
      <c r="J28" s="3"/>
      <c r="K28" s="3"/>
      <c r="L28" s="3"/>
      <c r="M28" s="3"/>
      <c r="N28" s="51"/>
      <c r="O28" s="3"/>
      <c r="P28" s="3">
        <f>E28+-N28</f>
        <v>8007.06</v>
      </c>
      <c r="Q28" s="3">
        <v>0</v>
      </c>
      <c r="R28" s="3"/>
      <c r="S28" s="3">
        <v>999.19</v>
      </c>
      <c r="T28" s="3">
        <v>0.06</v>
      </c>
      <c r="U28" s="32">
        <f>ROUND(E28*0.115,2)</f>
        <v>920.81</v>
      </c>
      <c r="V28" s="29"/>
      <c r="W28" s="3">
        <f>SUM(S28:U28)+G28</f>
        <v>1920.06</v>
      </c>
      <c r="X28" s="33">
        <f>P28-W28</f>
        <v>6087</v>
      </c>
      <c r="Y28" s="53">
        <v>448.12</v>
      </c>
      <c r="Z28" s="3">
        <f>ROUND(+E28*17.5%,2)+ROUND(E28*3%,2)</f>
        <v>1641.45</v>
      </c>
      <c r="AA28" s="35">
        <f>ROUND(+E28*2%,2)</f>
        <v>160.13999999999999</v>
      </c>
      <c r="AB28" s="54">
        <f>SUM(Y28:AA28)</f>
        <v>2249.71</v>
      </c>
    </row>
    <row r="29" spans="1:28" ht="21" x14ac:dyDescent="0.35">
      <c r="A29" s="1"/>
      <c r="B29" s="1" t="s">
        <v>80</v>
      </c>
      <c r="C29" s="2" t="s">
        <v>81</v>
      </c>
      <c r="D29" t="s">
        <v>82</v>
      </c>
      <c r="E29" s="3">
        <v>8007.06</v>
      </c>
      <c r="F29" s="77">
        <v>15</v>
      </c>
      <c r="G29" s="3"/>
      <c r="H29" s="3"/>
      <c r="I29" s="3"/>
      <c r="J29" s="3"/>
      <c r="K29" s="3"/>
      <c r="L29" s="3"/>
      <c r="M29" s="3"/>
      <c r="N29" s="49"/>
      <c r="O29" s="3"/>
      <c r="P29" s="3">
        <f t="shared" ref="P29:P31" si="9">E29+-N29</f>
        <v>8007.06</v>
      </c>
      <c r="Q29" s="3">
        <v>0</v>
      </c>
      <c r="R29" s="3"/>
      <c r="S29" s="3">
        <v>999.19</v>
      </c>
      <c r="T29" s="3">
        <v>0.06</v>
      </c>
      <c r="U29" s="32">
        <f>ROUND(E29*0.115,2)</f>
        <v>920.81</v>
      </c>
      <c r="V29" s="29"/>
      <c r="W29" s="3">
        <f>SUM(S29:U29)+G29</f>
        <v>1920.06</v>
      </c>
      <c r="X29" s="33">
        <f>P29-W29</f>
        <v>6087</v>
      </c>
      <c r="Y29" s="53">
        <v>448.12</v>
      </c>
      <c r="Z29" s="3">
        <f>ROUND(+E29*17.5%,2)+ROUND(E29*3%,2)</f>
        <v>1641.45</v>
      </c>
      <c r="AA29" s="35">
        <f>ROUND(+E29*2%,2)</f>
        <v>160.13999999999999</v>
      </c>
      <c r="AB29" s="54">
        <f>SUM(Y29:AA29)</f>
        <v>2249.71</v>
      </c>
    </row>
    <row r="30" spans="1:28" ht="21" x14ac:dyDescent="0.35">
      <c r="A30" s="1"/>
      <c r="B30" s="1" t="s">
        <v>83</v>
      </c>
      <c r="C30" s="2" t="s">
        <v>84</v>
      </c>
      <c r="D30" s="44" t="s">
        <v>85</v>
      </c>
      <c r="E30" s="3">
        <v>8007.06</v>
      </c>
      <c r="F30" s="77">
        <v>15</v>
      </c>
      <c r="G30" s="31">
        <v>3336</v>
      </c>
      <c r="H30" s="3"/>
      <c r="I30" s="3"/>
      <c r="J30" s="3"/>
      <c r="K30" s="3"/>
      <c r="L30" s="3"/>
      <c r="M30" s="3"/>
      <c r="N30" s="51">
        <v>5.08</v>
      </c>
      <c r="O30" s="3"/>
      <c r="P30" s="3">
        <f t="shared" si="9"/>
        <v>8001.9800000000005</v>
      </c>
      <c r="Q30" s="3">
        <v>0</v>
      </c>
      <c r="R30" s="3"/>
      <c r="S30" s="3">
        <v>999.19</v>
      </c>
      <c r="T30" s="3">
        <v>-0.02</v>
      </c>
      <c r="U30" s="32">
        <f>ROUND(E30*0.115,2)</f>
        <v>920.81</v>
      </c>
      <c r="V30" s="29"/>
      <c r="W30" s="3">
        <f>SUM(S30:U30)+G30</f>
        <v>5255.98</v>
      </c>
      <c r="X30" s="33">
        <f>P30-W30</f>
        <v>2746.0000000000009</v>
      </c>
      <c r="Y30" s="53">
        <v>448.12</v>
      </c>
      <c r="Z30" s="3">
        <f>ROUND(+E30*17.5%,2)+ROUND(E30*3%,2)</f>
        <v>1641.45</v>
      </c>
      <c r="AA30" s="35">
        <f>ROUND(+E30*2%,2)</f>
        <v>160.13999999999999</v>
      </c>
      <c r="AB30" s="54">
        <f>SUM(Y30:AA30)</f>
        <v>2249.71</v>
      </c>
    </row>
    <row r="31" spans="1:28" ht="21" x14ac:dyDescent="0.35">
      <c r="A31" s="1"/>
      <c r="B31" s="44" t="s">
        <v>86</v>
      </c>
      <c r="C31" s="2" t="s">
        <v>87</v>
      </c>
      <c r="D31" t="s">
        <v>82</v>
      </c>
      <c r="E31" s="3">
        <v>8007.06</v>
      </c>
      <c r="F31" s="77">
        <v>15</v>
      </c>
      <c r="G31" s="31">
        <v>1191</v>
      </c>
      <c r="H31" s="51"/>
      <c r="I31" s="51"/>
      <c r="J31" s="51"/>
      <c r="K31" s="51"/>
      <c r="L31" s="51"/>
      <c r="M31" s="51"/>
      <c r="N31" s="51"/>
      <c r="O31" s="3"/>
      <c r="P31" s="3">
        <f t="shared" si="9"/>
        <v>8007.06</v>
      </c>
      <c r="Q31" s="3"/>
      <c r="R31" s="3"/>
      <c r="S31" s="3">
        <v>999.19</v>
      </c>
      <c r="T31" s="3">
        <v>0.06</v>
      </c>
      <c r="U31" s="32">
        <f>ROUND(E31*0.115,2)</f>
        <v>920.81</v>
      </c>
      <c r="V31" s="29"/>
      <c r="W31" s="3">
        <f>SUM(S31:U31)+G31</f>
        <v>3111.06</v>
      </c>
      <c r="X31" s="33">
        <f>P31-W31</f>
        <v>4896</v>
      </c>
      <c r="Y31" s="53">
        <v>448.12</v>
      </c>
      <c r="Z31" s="3">
        <f>ROUND(+E31*17.5%,2)+ROUND(E31*3%,2)</f>
        <v>1641.45</v>
      </c>
      <c r="AA31" s="35">
        <f>ROUND(+E31*2%,2)</f>
        <v>160.13999999999999</v>
      </c>
      <c r="AB31" s="54">
        <f>SUM(Y31:AA31)</f>
        <v>2249.71</v>
      </c>
    </row>
    <row r="32" spans="1:28" ht="18.75" x14ac:dyDescent="0.3">
      <c r="A32" s="1"/>
      <c r="B32" s="23" t="s">
        <v>36</v>
      </c>
      <c r="C32" s="40"/>
      <c r="D32" s="41"/>
      <c r="E32" s="42">
        <f>SUM(E28:E31)</f>
        <v>32028.240000000002</v>
      </c>
      <c r="F32" s="42"/>
      <c r="G32" s="42">
        <f>+G31+G30+G28+G29</f>
        <v>4527</v>
      </c>
      <c r="H32" s="42"/>
      <c r="I32" s="42"/>
      <c r="J32" s="42"/>
      <c r="K32" s="42"/>
      <c r="L32" s="42"/>
      <c r="M32" s="42"/>
      <c r="N32" s="42">
        <f>SUM(N28:N31)</f>
        <v>5.08</v>
      </c>
      <c r="O32" s="42">
        <f>SUM(O28:O31)</f>
        <v>0</v>
      </c>
      <c r="P32" s="42">
        <f>SUM(P28:P31)</f>
        <v>32023.160000000003</v>
      </c>
      <c r="Q32" s="42">
        <f>SUM(Q28:Q30)</f>
        <v>0</v>
      </c>
      <c r="R32" s="42">
        <f>SUM(R28:R30)</f>
        <v>0</v>
      </c>
      <c r="S32" s="42">
        <f>SUM(S28:S31)</f>
        <v>3996.76</v>
      </c>
      <c r="T32" s="42">
        <f>SUM(T28:T31)</f>
        <v>0.15999999999999998</v>
      </c>
      <c r="U32" s="42">
        <f>SUM(U28:U31)</f>
        <v>3683.24</v>
      </c>
      <c r="V32" s="42"/>
      <c r="W32" s="42">
        <f t="shared" ref="W32:AB32" si="10">SUM(W28:W31)</f>
        <v>12207.159999999998</v>
      </c>
      <c r="X32" s="42">
        <f t="shared" si="10"/>
        <v>19816</v>
      </c>
      <c r="Y32" s="42">
        <f t="shared" si="10"/>
        <v>1792.48</v>
      </c>
      <c r="Z32" s="42">
        <f t="shared" si="10"/>
        <v>6565.8</v>
      </c>
      <c r="AA32" s="42">
        <f t="shared" si="10"/>
        <v>640.55999999999995</v>
      </c>
      <c r="AB32" s="42">
        <f t="shared" si="10"/>
        <v>8998.84</v>
      </c>
    </row>
    <row r="33" spans="1:28" ht="18.75" x14ac:dyDescent="0.3">
      <c r="A33" s="1"/>
      <c r="B33" s="1"/>
      <c r="C33" s="2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3"/>
      <c r="Y33" s="1"/>
      <c r="Z33" s="1"/>
      <c r="AA33" s="1"/>
      <c r="AB33" s="1"/>
    </row>
    <row r="34" spans="1:28" ht="18.75" x14ac:dyDescent="0.3">
      <c r="A34" s="1"/>
      <c r="B34" s="23" t="s">
        <v>88</v>
      </c>
      <c r="C34" s="40" t="s">
        <v>89</v>
      </c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3"/>
      <c r="Y34" s="1"/>
      <c r="Z34" s="1"/>
      <c r="AA34" s="1"/>
      <c r="AB34" s="1"/>
    </row>
    <row r="35" spans="1:28" ht="21" x14ac:dyDescent="0.35">
      <c r="A35" s="1"/>
      <c r="B35" s="1" t="s">
        <v>90</v>
      </c>
      <c r="C35" s="2"/>
      <c r="D35" t="s">
        <v>91</v>
      </c>
      <c r="E35" s="3"/>
      <c r="F35" s="77"/>
      <c r="G35" s="3"/>
      <c r="H35" s="3"/>
      <c r="I35" s="3"/>
      <c r="J35" s="3"/>
      <c r="K35" s="3"/>
      <c r="L35" s="3"/>
      <c r="M35" s="3"/>
      <c r="N35" s="51"/>
      <c r="O35" s="3"/>
      <c r="P35" s="3"/>
      <c r="Q35" s="3"/>
      <c r="R35" s="3"/>
      <c r="S35" s="3"/>
      <c r="T35" s="3"/>
      <c r="U35" s="55"/>
      <c r="V35" s="55"/>
      <c r="W35" s="3"/>
      <c r="X35" s="56"/>
      <c r="Y35" s="53"/>
      <c r="Z35" s="53"/>
      <c r="AA35" s="35"/>
      <c r="AB35" s="54"/>
    </row>
    <row r="36" spans="1:28" ht="21" x14ac:dyDescent="0.35">
      <c r="A36" s="1"/>
      <c r="B36" t="s">
        <v>90</v>
      </c>
      <c r="C36" s="2" t="s">
        <v>92</v>
      </c>
      <c r="D36" t="s">
        <v>93</v>
      </c>
      <c r="E36" s="3">
        <v>8007.06</v>
      </c>
      <c r="F36" s="77">
        <v>15</v>
      </c>
      <c r="G36" s="31">
        <v>1345.12</v>
      </c>
      <c r="H36" s="3"/>
      <c r="I36" s="3"/>
      <c r="J36" s="3"/>
      <c r="K36" s="3"/>
      <c r="L36" s="3"/>
      <c r="M36" s="3"/>
      <c r="N36" s="51"/>
      <c r="O36" s="3"/>
      <c r="P36" s="3">
        <f>E36+-N36</f>
        <v>8007.06</v>
      </c>
      <c r="Q36" s="3"/>
      <c r="R36" s="3"/>
      <c r="S36" s="3">
        <v>999.19</v>
      </c>
      <c r="T36" s="3">
        <v>0.14000000000000001</v>
      </c>
      <c r="U36" s="55">
        <f t="shared" ref="U36:U43" si="11">ROUND(E36*0.115,2)</f>
        <v>920.81</v>
      </c>
      <c r="V36" s="29"/>
      <c r="W36" s="3">
        <f>SUM(S36:U36)+G36</f>
        <v>3265.2599999999998</v>
      </c>
      <c r="X36" s="33">
        <f t="shared" ref="X36:X52" si="12">P36-W36</f>
        <v>4741.8000000000011</v>
      </c>
      <c r="Y36" s="53">
        <v>448.12</v>
      </c>
      <c r="Z36" s="3">
        <f t="shared" ref="Z36:Z43" si="13">ROUND(+E36*17.5%,2)+ROUND(E36*3%,2)</f>
        <v>1641.45</v>
      </c>
      <c r="AA36" s="35">
        <f t="shared" ref="AA36:AA43" si="14">ROUND(+E36*2%,2)</f>
        <v>160.13999999999999</v>
      </c>
      <c r="AB36" s="54">
        <f t="shared" ref="AB36:AB52" si="15">SUM(Y36:AA36)</f>
        <v>2249.71</v>
      </c>
    </row>
    <row r="37" spans="1:28" ht="21" x14ac:dyDescent="0.35">
      <c r="A37" s="1"/>
      <c r="B37" s="44" t="s">
        <v>94</v>
      </c>
      <c r="C37" s="2" t="s">
        <v>95</v>
      </c>
      <c r="D37" t="s">
        <v>93</v>
      </c>
      <c r="E37" s="3">
        <v>8007.06</v>
      </c>
      <c r="F37" s="77">
        <v>15</v>
      </c>
      <c r="G37" s="29"/>
      <c r="H37" s="3"/>
      <c r="I37" s="3"/>
      <c r="J37" s="3"/>
      <c r="K37" s="3"/>
      <c r="L37" s="3"/>
      <c r="M37" s="3"/>
      <c r="N37" s="51">
        <v>1.27</v>
      </c>
      <c r="O37" s="3"/>
      <c r="P37" s="3">
        <f t="shared" ref="P37:P52" si="16">E37+-N37</f>
        <v>8005.79</v>
      </c>
      <c r="Q37" s="3"/>
      <c r="R37" s="3"/>
      <c r="S37" s="3">
        <v>999.19</v>
      </c>
      <c r="T37" s="3">
        <v>-0.01</v>
      </c>
      <c r="U37" s="55">
        <f t="shared" si="11"/>
        <v>920.81</v>
      </c>
      <c r="V37" s="29"/>
      <c r="W37" s="3">
        <f>SUM(S37:U37)+G37</f>
        <v>1919.99</v>
      </c>
      <c r="X37" s="33">
        <f t="shared" si="12"/>
        <v>6085.8</v>
      </c>
      <c r="Y37" s="53">
        <v>448.12</v>
      </c>
      <c r="Z37" s="3">
        <f t="shared" si="13"/>
        <v>1641.45</v>
      </c>
      <c r="AA37" s="35">
        <f t="shared" si="14"/>
        <v>160.13999999999999</v>
      </c>
      <c r="AB37" s="54">
        <f t="shared" si="15"/>
        <v>2249.71</v>
      </c>
    </row>
    <row r="38" spans="1:28" ht="21" x14ac:dyDescent="0.35">
      <c r="A38" s="1"/>
      <c r="B38" s="44" t="s">
        <v>96</v>
      </c>
      <c r="C38" s="2" t="s">
        <v>97</v>
      </c>
      <c r="D38" s="1" t="s">
        <v>98</v>
      </c>
      <c r="E38" s="29">
        <v>8214.2800000000007</v>
      </c>
      <c r="F38" s="77">
        <v>15</v>
      </c>
      <c r="G38" s="31">
        <v>401.72</v>
      </c>
      <c r="H38" s="3"/>
      <c r="I38" s="3"/>
      <c r="J38" s="3"/>
      <c r="K38" s="3"/>
      <c r="L38" s="3"/>
      <c r="M38" s="3"/>
      <c r="N38" s="51">
        <v>1.3</v>
      </c>
      <c r="O38" s="3"/>
      <c r="P38" s="3">
        <f t="shared" si="16"/>
        <v>8212.9800000000014</v>
      </c>
      <c r="Q38" s="3">
        <v>0</v>
      </c>
      <c r="R38" s="3"/>
      <c r="S38" s="3">
        <v>1043.47</v>
      </c>
      <c r="T38" s="3">
        <v>-0.05</v>
      </c>
      <c r="U38" s="55">
        <f t="shared" si="11"/>
        <v>944.64</v>
      </c>
      <c r="V38" s="29"/>
      <c r="W38" s="3">
        <f>SUM(S38:U38)+G38</f>
        <v>2389.7799999999997</v>
      </c>
      <c r="X38" s="33">
        <f t="shared" si="12"/>
        <v>5823.2000000000016</v>
      </c>
      <c r="Y38" s="53">
        <v>453.78</v>
      </c>
      <c r="Z38" s="3">
        <f t="shared" si="13"/>
        <v>1683.93</v>
      </c>
      <c r="AA38" s="35">
        <f t="shared" si="14"/>
        <v>164.29</v>
      </c>
      <c r="AB38" s="54">
        <f t="shared" si="15"/>
        <v>2302</v>
      </c>
    </row>
    <row r="39" spans="1:28" ht="21" x14ac:dyDescent="0.35">
      <c r="A39" s="1"/>
      <c r="B39" s="1" t="s">
        <v>99</v>
      </c>
      <c r="C39" s="2" t="s">
        <v>100</v>
      </c>
      <c r="D39" s="1" t="s">
        <v>101</v>
      </c>
      <c r="E39" s="3">
        <v>8007.06</v>
      </c>
      <c r="F39" s="77">
        <v>15</v>
      </c>
      <c r="G39" s="57"/>
      <c r="H39" s="3"/>
      <c r="I39" s="31">
        <v>2994.04</v>
      </c>
      <c r="J39" s="3"/>
      <c r="K39" s="3"/>
      <c r="L39" s="3"/>
      <c r="M39" s="3"/>
      <c r="N39" s="51"/>
      <c r="O39" s="3"/>
      <c r="P39" s="3">
        <f t="shared" si="16"/>
        <v>8007.06</v>
      </c>
      <c r="Q39" s="3">
        <v>0</v>
      </c>
      <c r="R39" s="3"/>
      <c r="S39" s="3">
        <v>999.19</v>
      </c>
      <c r="T39" s="3">
        <v>0.02</v>
      </c>
      <c r="U39" s="55">
        <f t="shared" si="11"/>
        <v>920.81</v>
      </c>
      <c r="V39" s="29"/>
      <c r="W39" s="3">
        <f>SUM(S39:U39)+G39+I39</f>
        <v>4914.0599999999995</v>
      </c>
      <c r="X39" s="33">
        <f t="shared" si="12"/>
        <v>3093.0000000000009</v>
      </c>
      <c r="Y39" s="53">
        <v>448.12</v>
      </c>
      <c r="Z39" s="3">
        <f t="shared" si="13"/>
        <v>1641.45</v>
      </c>
      <c r="AA39" s="35">
        <f t="shared" si="14"/>
        <v>160.13999999999999</v>
      </c>
      <c r="AB39" s="54">
        <f t="shared" si="15"/>
        <v>2249.71</v>
      </c>
    </row>
    <row r="40" spans="1:28" ht="21" x14ac:dyDescent="0.35">
      <c r="A40" s="1"/>
      <c r="B40" s="1" t="s">
        <v>102</v>
      </c>
      <c r="C40" s="2" t="s">
        <v>103</v>
      </c>
      <c r="D40" s="1" t="s">
        <v>104</v>
      </c>
      <c r="E40" s="3">
        <v>8007.06</v>
      </c>
      <c r="F40" s="77">
        <v>15</v>
      </c>
      <c r="G40" s="29"/>
      <c r="H40" s="3"/>
      <c r="I40" s="3"/>
      <c r="J40" s="3"/>
      <c r="K40" s="3"/>
      <c r="L40" s="3"/>
      <c r="M40" s="3"/>
      <c r="N40" s="49">
        <v>22.88</v>
      </c>
      <c r="O40" s="3"/>
      <c r="P40" s="3">
        <f t="shared" si="16"/>
        <v>7984.18</v>
      </c>
      <c r="Q40" s="3">
        <v>0</v>
      </c>
      <c r="R40" s="3"/>
      <c r="S40" s="3">
        <v>999.19</v>
      </c>
      <c r="T40" s="3">
        <v>-0.02</v>
      </c>
      <c r="U40" s="55">
        <f t="shared" si="11"/>
        <v>920.81</v>
      </c>
      <c r="V40" s="29"/>
      <c r="W40" s="3">
        <f>SUM(S40:U40)+G40</f>
        <v>1919.98</v>
      </c>
      <c r="X40" s="33">
        <f t="shared" si="12"/>
        <v>6064.2000000000007</v>
      </c>
      <c r="Y40" s="53">
        <v>448.12</v>
      </c>
      <c r="Z40" s="3">
        <f t="shared" si="13"/>
        <v>1641.45</v>
      </c>
      <c r="AA40" s="35">
        <f t="shared" si="14"/>
        <v>160.13999999999999</v>
      </c>
      <c r="AB40" s="54">
        <f t="shared" si="15"/>
        <v>2249.71</v>
      </c>
    </row>
    <row r="41" spans="1:28" ht="21" x14ac:dyDescent="0.35">
      <c r="A41" s="1"/>
      <c r="B41" s="44" t="s">
        <v>105</v>
      </c>
      <c r="C41" s="2" t="s">
        <v>106</v>
      </c>
      <c r="D41" s="1" t="s">
        <v>104</v>
      </c>
      <c r="E41" s="3">
        <v>7738.82</v>
      </c>
      <c r="F41" s="77">
        <v>15</v>
      </c>
      <c r="G41" s="58"/>
      <c r="H41" s="3"/>
      <c r="I41" s="3"/>
      <c r="J41" s="3"/>
      <c r="K41" s="3"/>
      <c r="L41" s="3"/>
      <c r="M41" s="3"/>
      <c r="N41" s="51"/>
      <c r="O41" s="3"/>
      <c r="P41" s="3">
        <f t="shared" si="16"/>
        <v>7738.82</v>
      </c>
      <c r="Q41" s="3">
        <v>0</v>
      </c>
      <c r="R41" s="3"/>
      <c r="S41" s="3">
        <v>941.91</v>
      </c>
      <c r="T41" s="3">
        <v>-0.05</v>
      </c>
      <c r="U41" s="55">
        <f t="shared" si="11"/>
        <v>889.96</v>
      </c>
      <c r="V41" s="29"/>
      <c r="W41" s="3">
        <f>SUM(S41:U41)+G41</f>
        <v>1831.8200000000002</v>
      </c>
      <c r="X41" s="33">
        <f t="shared" si="12"/>
        <v>5907</v>
      </c>
      <c r="Y41" s="53">
        <v>440.8</v>
      </c>
      <c r="Z41" s="3">
        <f t="shared" si="13"/>
        <v>1586.45</v>
      </c>
      <c r="AA41" s="35">
        <f t="shared" si="14"/>
        <v>154.78</v>
      </c>
      <c r="AB41" s="54">
        <f t="shared" si="15"/>
        <v>2182.0300000000002</v>
      </c>
    </row>
    <row r="42" spans="1:28" ht="21" x14ac:dyDescent="0.35">
      <c r="A42" s="1"/>
      <c r="B42" s="44" t="s">
        <v>107</v>
      </c>
      <c r="C42" s="2" t="s">
        <v>108</v>
      </c>
      <c r="D42" s="1" t="s">
        <v>104</v>
      </c>
      <c r="E42" s="3">
        <v>7738.82</v>
      </c>
      <c r="F42" s="77">
        <v>15</v>
      </c>
      <c r="G42" s="3"/>
      <c r="H42" s="3"/>
      <c r="I42" s="3"/>
      <c r="J42" s="3"/>
      <c r="K42" s="3"/>
      <c r="L42" s="3"/>
      <c r="M42" s="3"/>
      <c r="N42" s="49">
        <v>3.69</v>
      </c>
      <c r="O42" s="3"/>
      <c r="P42" s="3">
        <f t="shared" si="16"/>
        <v>7735.13</v>
      </c>
      <c r="Q42" s="3">
        <v>0</v>
      </c>
      <c r="R42" s="3"/>
      <c r="S42" s="3">
        <v>941.91</v>
      </c>
      <c r="T42" s="3">
        <v>0.06</v>
      </c>
      <c r="U42" s="55">
        <f t="shared" si="11"/>
        <v>889.96</v>
      </c>
      <c r="V42" s="29"/>
      <c r="W42" s="3">
        <f>SUM(S42:U42)+G42</f>
        <v>1831.9299999999998</v>
      </c>
      <c r="X42" s="33">
        <f t="shared" si="12"/>
        <v>5903.2000000000007</v>
      </c>
      <c r="Y42" s="53">
        <v>440.8</v>
      </c>
      <c r="Z42" s="3">
        <f t="shared" si="13"/>
        <v>1586.45</v>
      </c>
      <c r="AA42" s="35">
        <f t="shared" si="14"/>
        <v>154.78</v>
      </c>
      <c r="AB42" s="54">
        <f t="shared" si="15"/>
        <v>2182.0300000000002</v>
      </c>
    </row>
    <row r="43" spans="1:28" ht="21" x14ac:dyDescent="0.35">
      <c r="A43" s="1"/>
      <c r="B43" t="s">
        <v>109</v>
      </c>
      <c r="C43" s="2" t="s">
        <v>110</v>
      </c>
      <c r="D43" t="s">
        <v>111</v>
      </c>
      <c r="E43" s="3">
        <v>8007.06</v>
      </c>
      <c r="F43" s="77">
        <v>15</v>
      </c>
      <c r="G43" s="3"/>
      <c r="H43" s="3"/>
      <c r="I43" s="3"/>
      <c r="J43" s="31">
        <v>2257.0300000000002</v>
      </c>
      <c r="K43" s="31">
        <v>86.18</v>
      </c>
      <c r="L43" s="31">
        <v>1375.93</v>
      </c>
      <c r="M43" s="31">
        <v>37.35</v>
      </c>
      <c r="N43" s="49"/>
      <c r="O43" s="3"/>
      <c r="P43" s="3">
        <f t="shared" si="16"/>
        <v>8007.06</v>
      </c>
      <c r="Q43" s="3">
        <v>0</v>
      </c>
      <c r="R43" s="3"/>
      <c r="S43" s="3">
        <v>999.19</v>
      </c>
      <c r="T43" s="3">
        <v>-0.03</v>
      </c>
      <c r="U43" s="55">
        <f t="shared" si="11"/>
        <v>920.81</v>
      </c>
      <c r="V43" s="29"/>
      <c r="W43" s="3">
        <f>SUM(S43:U43)+G43+J43+K43+L43+M43</f>
        <v>5676.4600000000009</v>
      </c>
      <c r="X43" s="33">
        <f t="shared" si="12"/>
        <v>2330.5999999999995</v>
      </c>
      <c r="Y43" s="53">
        <v>448.12</v>
      </c>
      <c r="Z43" s="3">
        <f t="shared" si="13"/>
        <v>1641.45</v>
      </c>
      <c r="AA43" s="35">
        <f t="shared" si="14"/>
        <v>160.13999999999999</v>
      </c>
      <c r="AB43" s="54">
        <f t="shared" si="15"/>
        <v>2249.71</v>
      </c>
    </row>
    <row r="44" spans="1:28" ht="21" x14ac:dyDescent="0.35">
      <c r="A44" s="1"/>
      <c r="B44" s="1" t="s">
        <v>112</v>
      </c>
      <c r="C44" s="2" t="s">
        <v>113</v>
      </c>
      <c r="D44" s="1" t="s">
        <v>111</v>
      </c>
      <c r="E44" s="3">
        <f>8007.06/15*14</f>
        <v>7473.2559999999994</v>
      </c>
      <c r="F44" s="77">
        <v>14</v>
      </c>
      <c r="G44" s="31">
        <v>1183.75</v>
      </c>
      <c r="H44" s="3"/>
      <c r="I44" s="3"/>
      <c r="J44" s="31">
        <v>2438.14</v>
      </c>
      <c r="K44" s="31">
        <v>112.95</v>
      </c>
      <c r="L44" s="29"/>
      <c r="M44" s="29"/>
      <c r="N44" s="49">
        <v>3.81</v>
      </c>
      <c r="O44" s="3"/>
      <c r="P44" s="3">
        <f t="shared" si="16"/>
        <v>7469.445999999999</v>
      </c>
      <c r="Q44" s="3">
        <v>0</v>
      </c>
      <c r="R44" s="3"/>
      <c r="S44" s="3">
        <v>885.17</v>
      </c>
      <c r="T44" s="3">
        <v>0.03</v>
      </c>
      <c r="U44" s="55">
        <v>920.81</v>
      </c>
      <c r="V44" s="29"/>
      <c r="W44" s="3">
        <f>SUM(S44:U44)+G44+J44+K44</f>
        <v>5540.8499999999995</v>
      </c>
      <c r="X44" s="33">
        <f t="shared" si="12"/>
        <v>1928.5959999999995</v>
      </c>
      <c r="Y44" s="53">
        <v>448.12</v>
      </c>
      <c r="Z44" s="3">
        <v>1641.45</v>
      </c>
      <c r="AA44" s="35">
        <v>160.13999999999999</v>
      </c>
      <c r="AB44" s="54">
        <f t="shared" si="15"/>
        <v>2249.71</v>
      </c>
    </row>
    <row r="45" spans="1:28" ht="21" x14ac:dyDescent="0.35">
      <c r="A45" s="1"/>
      <c r="B45" s="44" t="s">
        <v>114</v>
      </c>
      <c r="C45" s="2" t="s">
        <v>115</v>
      </c>
      <c r="D45" s="1" t="s">
        <v>116</v>
      </c>
      <c r="E45" s="3">
        <v>7738.82</v>
      </c>
      <c r="F45" s="77">
        <v>15</v>
      </c>
      <c r="G45" s="3"/>
      <c r="H45" s="3"/>
      <c r="I45" s="3"/>
      <c r="J45" s="3"/>
      <c r="K45" s="3"/>
      <c r="L45" s="3"/>
      <c r="M45" s="3"/>
      <c r="N45" s="51"/>
      <c r="O45" s="3"/>
      <c r="P45" s="3">
        <f t="shared" si="16"/>
        <v>7738.82</v>
      </c>
      <c r="Q45" s="3">
        <v>0</v>
      </c>
      <c r="R45" s="3"/>
      <c r="S45" s="3">
        <v>941.91</v>
      </c>
      <c r="T45" s="3">
        <v>0.11</v>
      </c>
      <c r="U45" s="55"/>
      <c r="V45" s="29"/>
      <c r="W45" s="3">
        <f>SUM(S45:U45)+G45</f>
        <v>942.02</v>
      </c>
      <c r="X45" s="33">
        <f t="shared" si="12"/>
        <v>6796.7999999999993</v>
      </c>
      <c r="Y45" s="53">
        <v>440.8</v>
      </c>
      <c r="Z45" s="3">
        <v>0</v>
      </c>
      <c r="AA45" s="35">
        <v>0</v>
      </c>
      <c r="AB45" s="54">
        <f t="shared" si="15"/>
        <v>440.8</v>
      </c>
    </row>
    <row r="46" spans="1:28" ht="21" x14ac:dyDescent="0.35">
      <c r="A46" s="1"/>
      <c r="B46" s="1" t="s">
        <v>117</v>
      </c>
      <c r="C46" s="2" t="s">
        <v>118</v>
      </c>
      <c r="D46" s="1" t="s">
        <v>116</v>
      </c>
      <c r="E46" s="3">
        <v>8007.06</v>
      </c>
      <c r="F46" s="77">
        <v>15</v>
      </c>
      <c r="G46" s="31">
        <v>1754</v>
      </c>
      <c r="H46" s="3"/>
      <c r="I46" s="3"/>
      <c r="J46" s="3"/>
      <c r="K46" s="3"/>
      <c r="L46" s="3"/>
      <c r="M46" s="3"/>
      <c r="N46" s="51"/>
      <c r="O46" s="3"/>
      <c r="P46" s="3">
        <f t="shared" si="16"/>
        <v>8007.06</v>
      </c>
      <c r="Q46" s="3">
        <v>0</v>
      </c>
      <c r="R46" s="3"/>
      <c r="S46" s="3">
        <v>999.19</v>
      </c>
      <c r="T46" s="3">
        <v>0.06</v>
      </c>
      <c r="U46" s="55">
        <f t="shared" ref="U46:U52" si="17">ROUND(E46*0.115,2)</f>
        <v>920.81</v>
      </c>
      <c r="V46" s="29"/>
      <c r="W46" s="3">
        <f>SUM(S46:U46)+G46</f>
        <v>3674.06</v>
      </c>
      <c r="X46" s="33">
        <f t="shared" si="12"/>
        <v>4333</v>
      </c>
      <c r="Y46" s="53">
        <v>448.12</v>
      </c>
      <c r="Z46" s="3">
        <f t="shared" ref="Z46:Z52" si="18">ROUND(+E46*17.5%,2)+ROUND(E46*3%,2)</f>
        <v>1641.45</v>
      </c>
      <c r="AA46" s="35">
        <f t="shared" ref="AA46:AA52" si="19">ROUND(+E46*2%,2)</f>
        <v>160.13999999999999</v>
      </c>
      <c r="AB46" s="54">
        <f t="shared" si="15"/>
        <v>2249.71</v>
      </c>
    </row>
    <row r="47" spans="1:28" ht="21" x14ac:dyDescent="0.35">
      <c r="A47" s="1"/>
      <c r="B47" t="s">
        <v>119</v>
      </c>
      <c r="C47" s="2" t="s">
        <v>120</v>
      </c>
      <c r="D47" t="s">
        <v>121</v>
      </c>
      <c r="E47" s="3">
        <v>8007.06</v>
      </c>
      <c r="F47" s="77">
        <v>15</v>
      </c>
      <c r="G47" s="31">
        <v>1315</v>
      </c>
      <c r="H47" s="3"/>
      <c r="I47" s="3"/>
      <c r="J47" s="3"/>
      <c r="K47" s="3"/>
      <c r="L47" s="3"/>
      <c r="M47" s="3"/>
      <c r="N47" s="51">
        <v>41.94</v>
      </c>
      <c r="O47" s="3"/>
      <c r="P47" s="3">
        <f t="shared" si="16"/>
        <v>7965.1200000000008</v>
      </c>
      <c r="Q47" s="3">
        <v>0</v>
      </c>
      <c r="R47" s="3"/>
      <c r="S47" s="3">
        <v>999.19</v>
      </c>
      <c r="T47" s="3">
        <v>0.12</v>
      </c>
      <c r="U47" s="55">
        <f t="shared" si="17"/>
        <v>920.81</v>
      </c>
      <c r="V47" s="29"/>
      <c r="W47" s="3">
        <f>SUM(S47:U47)+G47</f>
        <v>3235.12</v>
      </c>
      <c r="X47" s="33">
        <f t="shared" si="12"/>
        <v>4730.0000000000009</v>
      </c>
      <c r="Y47" s="53">
        <v>448.12</v>
      </c>
      <c r="Z47" s="3">
        <f t="shared" si="18"/>
        <v>1641.45</v>
      </c>
      <c r="AA47" s="35">
        <f t="shared" si="19"/>
        <v>160.13999999999999</v>
      </c>
      <c r="AB47" s="54">
        <f t="shared" si="15"/>
        <v>2249.71</v>
      </c>
    </row>
    <row r="48" spans="1:28" ht="21" x14ac:dyDescent="0.35">
      <c r="A48" s="1"/>
      <c r="B48" t="s">
        <v>122</v>
      </c>
      <c r="C48" s="2" t="s">
        <v>123</v>
      </c>
      <c r="D48" t="s">
        <v>121</v>
      </c>
      <c r="E48" s="3">
        <v>8007.06</v>
      </c>
      <c r="F48" s="77">
        <v>15</v>
      </c>
      <c r="G48" s="29"/>
      <c r="H48" s="3"/>
      <c r="I48" s="31">
        <v>3996.62</v>
      </c>
      <c r="J48" s="3"/>
      <c r="K48" s="3"/>
      <c r="L48" s="3"/>
      <c r="M48" s="3"/>
      <c r="N48" s="51"/>
      <c r="O48" s="3"/>
      <c r="P48" s="3">
        <f t="shared" si="16"/>
        <v>8007.06</v>
      </c>
      <c r="Q48" s="3">
        <v>0</v>
      </c>
      <c r="R48" s="3"/>
      <c r="S48" s="3">
        <v>999.19</v>
      </c>
      <c r="T48" s="3">
        <v>0.04</v>
      </c>
      <c r="U48" s="55">
        <f t="shared" si="17"/>
        <v>920.81</v>
      </c>
      <c r="V48" s="29"/>
      <c r="W48" s="3">
        <f>SUM(S48:U48)+G48+I48</f>
        <v>5916.66</v>
      </c>
      <c r="X48" s="33">
        <f t="shared" si="12"/>
        <v>2090.4000000000005</v>
      </c>
      <c r="Y48" s="53">
        <v>448.12</v>
      </c>
      <c r="Z48" s="3">
        <f t="shared" si="18"/>
        <v>1641.45</v>
      </c>
      <c r="AA48" s="35">
        <f t="shared" si="19"/>
        <v>160.13999999999999</v>
      </c>
      <c r="AB48" s="54">
        <f t="shared" si="15"/>
        <v>2249.71</v>
      </c>
    </row>
    <row r="49" spans="1:28" ht="21" x14ac:dyDescent="0.35">
      <c r="A49" s="1"/>
      <c r="B49" t="s">
        <v>124</v>
      </c>
      <c r="C49" s="2" t="s">
        <v>125</v>
      </c>
      <c r="D49" t="s">
        <v>121</v>
      </c>
      <c r="E49" s="3">
        <v>8007.06</v>
      </c>
      <c r="F49" s="77">
        <v>15</v>
      </c>
      <c r="G49" s="31">
        <v>3317.12</v>
      </c>
      <c r="H49" s="3"/>
      <c r="I49" s="3"/>
      <c r="J49" s="3"/>
      <c r="K49" s="3"/>
      <c r="L49" s="3"/>
      <c r="M49" s="3"/>
      <c r="N49" s="51">
        <v>2.54</v>
      </c>
      <c r="O49" s="3"/>
      <c r="P49" s="3">
        <f t="shared" si="16"/>
        <v>8004.52</v>
      </c>
      <c r="Q49" s="3">
        <v>0</v>
      </c>
      <c r="R49" s="3"/>
      <c r="S49" s="3">
        <v>999.19</v>
      </c>
      <c r="T49" s="3"/>
      <c r="U49" s="55">
        <f t="shared" si="17"/>
        <v>920.81</v>
      </c>
      <c r="V49" s="29"/>
      <c r="W49" s="3">
        <f>SUM(S49:U49)+G49</f>
        <v>5237.12</v>
      </c>
      <c r="X49" s="33">
        <f t="shared" si="12"/>
        <v>2767.4000000000005</v>
      </c>
      <c r="Y49" s="53">
        <v>448.12</v>
      </c>
      <c r="Z49" s="3">
        <f t="shared" si="18"/>
        <v>1641.45</v>
      </c>
      <c r="AA49" s="35">
        <f t="shared" si="19"/>
        <v>160.13999999999999</v>
      </c>
      <c r="AB49" s="54">
        <f t="shared" si="15"/>
        <v>2249.71</v>
      </c>
    </row>
    <row r="50" spans="1:28" ht="21" x14ac:dyDescent="0.35">
      <c r="A50" s="1"/>
      <c r="B50" t="s">
        <v>126</v>
      </c>
      <c r="C50" s="2" t="s">
        <v>127</v>
      </c>
      <c r="D50" t="s">
        <v>121</v>
      </c>
      <c r="E50" s="3">
        <v>8007.06</v>
      </c>
      <c r="F50" s="77">
        <v>15</v>
      </c>
      <c r="G50" s="3"/>
      <c r="H50" s="3"/>
      <c r="I50" s="31">
        <v>2600.7800000000002</v>
      </c>
      <c r="J50" s="3"/>
      <c r="K50" s="3"/>
      <c r="L50" s="3"/>
      <c r="M50" s="3"/>
      <c r="N50" s="51"/>
      <c r="O50" s="3"/>
      <c r="P50" s="3">
        <f t="shared" si="16"/>
        <v>8007.06</v>
      </c>
      <c r="Q50" s="3">
        <v>0</v>
      </c>
      <c r="R50" s="3"/>
      <c r="S50" s="3">
        <v>999.19</v>
      </c>
      <c r="T50" s="3">
        <v>0.08</v>
      </c>
      <c r="U50" s="55">
        <f t="shared" si="17"/>
        <v>920.81</v>
      </c>
      <c r="V50" s="29"/>
      <c r="W50" s="3">
        <f>SUM(S50:U50)+G50+I50</f>
        <v>4520.8600000000006</v>
      </c>
      <c r="X50" s="59">
        <f t="shared" si="12"/>
        <v>3486.2</v>
      </c>
      <c r="Y50" s="53">
        <v>448.12</v>
      </c>
      <c r="Z50" s="3">
        <f t="shared" si="18"/>
        <v>1641.45</v>
      </c>
      <c r="AA50" s="35">
        <f t="shared" si="19"/>
        <v>160.13999999999999</v>
      </c>
      <c r="AB50" s="54">
        <f t="shared" si="15"/>
        <v>2249.71</v>
      </c>
    </row>
    <row r="51" spans="1:28" ht="21" x14ac:dyDescent="0.35">
      <c r="A51" s="1"/>
      <c r="B51" t="s">
        <v>128</v>
      </c>
      <c r="C51" s="2" t="s">
        <v>45</v>
      </c>
      <c r="D51" t="s">
        <v>121</v>
      </c>
      <c r="E51" s="3"/>
      <c r="F51" s="77"/>
      <c r="G51" s="3"/>
      <c r="H51" s="3"/>
      <c r="I51" s="3"/>
      <c r="J51" s="3"/>
      <c r="K51" s="3"/>
      <c r="L51" s="3"/>
      <c r="M51" s="3"/>
      <c r="N51" s="49"/>
      <c r="O51" s="3"/>
      <c r="P51" s="3">
        <f t="shared" si="16"/>
        <v>0</v>
      </c>
      <c r="Q51" s="3">
        <v>0</v>
      </c>
      <c r="R51" s="3"/>
      <c r="S51" s="3"/>
      <c r="T51" s="3"/>
      <c r="U51" s="55">
        <f t="shared" si="17"/>
        <v>0</v>
      </c>
      <c r="V51" s="29"/>
      <c r="W51" s="3">
        <f>SUM(S51:U51)+G51</f>
        <v>0</v>
      </c>
      <c r="X51" s="33">
        <f t="shared" si="12"/>
        <v>0</v>
      </c>
      <c r="Y51" s="53"/>
      <c r="Z51" s="3">
        <f t="shared" si="18"/>
        <v>0</v>
      </c>
      <c r="AA51" s="35">
        <f t="shared" si="19"/>
        <v>0</v>
      </c>
      <c r="AB51" s="54">
        <f t="shared" si="15"/>
        <v>0</v>
      </c>
    </row>
    <row r="52" spans="1:28" ht="21" x14ac:dyDescent="0.35">
      <c r="A52" s="1"/>
      <c r="B52" t="s">
        <v>129</v>
      </c>
      <c r="C52" s="2" t="s">
        <v>130</v>
      </c>
      <c r="D52" t="s">
        <v>131</v>
      </c>
      <c r="E52" s="3">
        <v>5169.53</v>
      </c>
      <c r="F52" s="77">
        <v>15</v>
      </c>
      <c r="G52" s="3"/>
      <c r="H52" s="3"/>
      <c r="I52" s="3"/>
      <c r="J52" s="3"/>
      <c r="K52" s="3"/>
      <c r="L52" s="3"/>
      <c r="M52" s="3"/>
      <c r="N52" s="51">
        <v>15.59</v>
      </c>
      <c r="O52" s="3"/>
      <c r="P52" s="3">
        <f t="shared" si="16"/>
        <v>5153.9399999999996</v>
      </c>
      <c r="Q52" s="3"/>
      <c r="R52" s="3"/>
      <c r="S52" s="3">
        <v>449.05</v>
      </c>
      <c r="T52" s="3">
        <v>-0.01</v>
      </c>
      <c r="U52" s="55">
        <f t="shared" si="17"/>
        <v>594.5</v>
      </c>
      <c r="V52" s="29"/>
      <c r="W52" s="3">
        <f>SUM(S52:U52)+G52</f>
        <v>1043.54</v>
      </c>
      <c r="X52" s="33">
        <f t="shared" si="12"/>
        <v>4110.3999999999996</v>
      </c>
      <c r="Y52" s="50">
        <v>370.64</v>
      </c>
      <c r="Z52" s="3">
        <f t="shared" si="18"/>
        <v>1059.76</v>
      </c>
      <c r="AA52" s="35">
        <f t="shared" si="19"/>
        <v>103.39</v>
      </c>
      <c r="AB52" s="54">
        <f t="shared" si="15"/>
        <v>1533.7900000000002</v>
      </c>
    </row>
    <row r="53" spans="1:28" ht="18.75" x14ac:dyDescent="0.3">
      <c r="A53" s="1"/>
      <c r="B53" s="23" t="s">
        <v>36</v>
      </c>
      <c r="C53" s="40"/>
      <c r="D53" s="41"/>
      <c r="E53" s="42">
        <f>SUM(E35:E52)</f>
        <v>124144.12599999999</v>
      </c>
      <c r="F53" s="42"/>
      <c r="G53" s="42">
        <f>SUM(G35:G52)</f>
        <v>9316.7099999999991</v>
      </c>
      <c r="H53" s="42">
        <f t="shared" ref="H53:M53" si="20">SUM(H35:H52)</f>
        <v>0</v>
      </c>
      <c r="I53" s="42">
        <f t="shared" si="20"/>
        <v>9591.44</v>
      </c>
      <c r="J53" s="42">
        <f t="shared" si="20"/>
        <v>4695.17</v>
      </c>
      <c r="K53" s="42">
        <f t="shared" si="20"/>
        <v>199.13</v>
      </c>
      <c r="L53" s="42">
        <f t="shared" si="20"/>
        <v>1375.93</v>
      </c>
      <c r="M53" s="42">
        <f t="shared" si="20"/>
        <v>37.35</v>
      </c>
      <c r="N53" s="42">
        <f>SUM(N35:N52)</f>
        <v>93.02000000000001</v>
      </c>
      <c r="O53" s="42">
        <f t="shared" ref="O53:AB53" si="21">SUM(O35:O52)</f>
        <v>0</v>
      </c>
      <c r="P53" s="42">
        <f t="shared" si="21"/>
        <v>124051.10599999999</v>
      </c>
      <c r="Q53" s="42">
        <f t="shared" si="21"/>
        <v>0</v>
      </c>
      <c r="R53" s="42">
        <f t="shared" si="21"/>
        <v>0</v>
      </c>
      <c r="S53" s="42">
        <f t="shared" si="21"/>
        <v>15195.320000000002</v>
      </c>
      <c r="T53" s="42">
        <f>SUM(T35:T52)</f>
        <v>0.49</v>
      </c>
      <c r="U53" s="42">
        <f t="shared" si="21"/>
        <v>13447.969999999996</v>
      </c>
      <c r="V53" s="42"/>
      <c r="W53" s="42">
        <f t="shared" si="21"/>
        <v>53859.510000000009</v>
      </c>
      <c r="X53" s="42">
        <f t="shared" si="21"/>
        <v>70191.59599999999</v>
      </c>
      <c r="Y53" s="42">
        <f t="shared" si="21"/>
        <v>7076.1399999999994</v>
      </c>
      <c r="Z53" s="42">
        <f t="shared" si="21"/>
        <v>23972.540000000005</v>
      </c>
      <c r="AA53" s="42">
        <f t="shared" si="21"/>
        <v>2338.7799999999988</v>
      </c>
      <c r="AB53" s="42">
        <f t="shared" si="21"/>
        <v>33387.459999999992</v>
      </c>
    </row>
    <row r="54" spans="1:28" ht="18.75" x14ac:dyDescent="0.3">
      <c r="A54" s="1"/>
      <c r="B54" s="1"/>
      <c r="C54" s="2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3"/>
      <c r="Y54" s="1"/>
      <c r="Z54" s="1"/>
      <c r="AA54" s="1"/>
      <c r="AB54" s="1"/>
    </row>
    <row r="55" spans="1:28" ht="18.75" x14ac:dyDescent="0.3">
      <c r="A55" s="1"/>
      <c r="B55" s="23" t="s">
        <v>132</v>
      </c>
      <c r="C55" s="40" t="s">
        <v>133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43"/>
      <c r="Y55" s="1"/>
      <c r="Z55" s="1"/>
      <c r="AA55" s="1"/>
      <c r="AB55" s="1"/>
    </row>
    <row r="56" spans="1:28" ht="21" x14ac:dyDescent="0.35">
      <c r="A56" s="27"/>
      <c r="B56" s="37" t="s">
        <v>134</v>
      </c>
      <c r="C56" s="28" t="s">
        <v>135</v>
      </c>
      <c r="D56" s="27" t="s">
        <v>136</v>
      </c>
      <c r="E56" s="3">
        <v>8214.2800000000007</v>
      </c>
      <c r="F56" s="30">
        <v>15</v>
      </c>
      <c r="G56" s="60"/>
      <c r="H56" s="29"/>
      <c r="I56" s="29"/>
      <c r="J56" s="29"/>
      <c r="K56" s="29"/>
      <c r="L56" s="29"/>
      <c r="M56" s="29"/>
      <c r="N56" s="38">
        <v>2.61</v>
      </c>
      <c r="O56" s="29"/>
      <c r="P56" s="29">
        <f>E56+-N56</f>
        <v>8211.67</v>
      </c>
      <c r="Q56" s="29"/>
      <c r="R56" s="29"/>
      <c r="S56" s="29">
        <v>1043.47</v>
      </c>
      <c r="T56" s="29"/>
      <c r="U56" s="32">
        <v>0</v>
      </c>
      <c r="V56" s="29"/>
      <c r="W56" s="29">
        <f>SUM(S56:U56)+G56</f>
        <v>1043.47</v>
      </c>
      <c r="X56" s="47">
        <f t="shared" ref="X56:X61" si="22">P56-W56</f>
        <v>7168.2</v>
      </c>
      <c r="Y56" s="48">
        <v>453.78</v>
      </c>
      <c r="Z56" s="3">
        <v>0</v>
      </c>
      <c r="AA56" s="35">
        <v>0</v>
      </c>
      <c r="AB56" s="36">
        <f t="shared" ref="AB56:AB61" si="23">SUM(Y56:AA56)</f>
        <v>453.78</v>
      </c>
    </row>
    <row r="57" spans="1:28" ht="21" x14ac:dyDescent="0.35">
      <c r="A57" s="1"/>
      <c r="B57" s="1" t="s">
        <v>137</v>
      </c>
      <c r="C57" s="2" t="s">
        <v>138</v>
      </c>
      <c r="D57" s="1" t="s">
        <v>91</v>
      </c>
      <c r="E57" s="3">
        <v>8007.06</v>
      </c>
      <c r="F57" s="77">
        <v>15</v>
      </c>
      <c r="G57" s="31">
        <v>953</v>
      </c>
      <c r="H57" s="3"/>
      <c r="I57" s="3"/>
      <c r="J57" s="3"/>
      <c r="K57" s="3"/>
      <c r="L57" s="3"/>
      <c r="M57" s="3"/>
      <c r="N57" s="51">
        <v>2.54</v>
      </c>
      <c r="O57" s="3"/>
      <c r="P57" s="29">
        <f t="shared" ref="P57:P61" si="24">E57+-N57</f>
        <v>8004.52</v>
      </c>
      <c r="Q57" s="3"/>
      <c r="R57" s="3"/>
      <c r="S57" s="3">
        <v>999.19</v>
      </c>
      <c r="T57" s="3">
        <v>0.12</v>
      </c>
      <c r="U57" s="32">
        <f t="shared" ref="U57:U61" si="25">ROUND(E57*0.115,2)</f>
        <v>920.81</v>
      </c>
      <c r="V57" s="29"/>
      <c r="W57" s="29">
        <f>SUM(S57:U57)+G57</f>
        <v>2873.12</v>
      </c>
      <c r="X57" s="33">
        <f t="shared" si="22"/>
        <v>5131.4000000000005</v>
      </c>
      <c r="Y57" s="53">
        <v>448.12</v>
      </c>
      <c r="Z57" s="3">
        <f t="shared" ref="Z57:Z61" si="26">ROUND(+E57*17.5%,2)+ROUND(E57*3%,2)</f>
        <v>1641.45</v>
      </c>
      <c r="AA57" s="35">
        <f t="shared" ref="AA57:AA61" si="27">ROUND(+E57*2%,2)</f>
        <v>160.13999999999999</v>
      </c>
      <c r="AB57" s="36">
        <f t="shared" si="23"/>
        <v>2249.71</v>
      </c>
    </row>
    <row r="58" spans="1:28" ht="21" x14ac:dyDescent="0.35">
      <c r="A58" s="1"/>
      <c r="B58" s="44" t="s">
        <v>139</v>
      </c>
      <c r="C58" s="2" t="s">
        <v>140</v>
      </c>
      <c r="D58" s="1" t="s">
        <v>121</v>
      </c>
      <c r="E58" s="3">
        <v>7738.82</v>
      </c>
      <c r="F58" s="77">
        <v>15</v>
      </c>
      <c r="G58" s="3"/>
      <c r="H58" s="3"/>
      <c r="I58" s="3"/>
      <c r="J58" s="3"/>
      <c r="K58" s="3"/>
      <c r="L58" s="3"/>
      <c r="M58" s="3"/>
      <c r="N58" s="51">
        <v>4.91</v>
      </c>
      <c r="O58" s="3"/>
      <c r="P58" s="29">
        <f t="shared" si="24"/>
        <v>7733.91</v>
      </c>
      <c r="Q58" s="3"/>
      <c r="R58" s="3"/>
      <c r="S58" s="3">
        <v>941.91</v>
      </c>
      <c r="T58" s="3">
        <v>0.04</v>
      </c>
      <c r="U58" s="32">
        <f t="shared" si="25"/>
        <v>889.96</v>
      </c>
      <c r="V58" s="29"/>
      <c r="W58" s="29">
        <f>SUM(S58:U58)+G58</f>
        <v>1831.9099999999999</v>
      </c>
      <c r="X58" s="33">
        <f t="shared" si="22"/>
        <v>5902</v>
      </c>
      <c r="Y58" s="53">
        <v>440.8</v>
      </c>
      <c r="Z58" s="3">
        <f t="shared" si="26"/>
        <v>1586.45</v>
      </c>
      <c r="AA58" s="35">
        <f t="shared" si="27"/>
        <v>154.78</v>
      </c>
      <c r="AB58" s="36">
        <f t="shared" si="23"/>
        <v>2182.0300000000002</v>
      </c>
    </row>
    <row r="59" spans="1:28" ht="91.5" x14ac:dyDescent="0.35">
      <c r="A59" s="1" t="s">
        <v>141</v>
      </c>
      <c r="B59" t="s">
        <v>142</v>
      </c>
      <c r="C59" s="2" t="s">
        <v>143</v>
      </c>
      <c r="D59" s="61" t="s">
        <v>144</v>
      </c>
      <c r="E59" s="3">
        <v>7774.4</v>
      </c>
      <c r="F59" s="77">
        <v>15</v>
      </c>
      <c r="G59" s="31">
        <v>770</v>
      </c>
      <c r="H59" s="3"/>
      <c r="I59" s="3"/>
      <c r="J59" s="3"/>
      <c r="K59" s="3"/>
      <c r="L59" s="3"/>
      <c r="M59" s="3"/>
      <c r="N59" s="51">
        <v>1.23</v>
      </c>
      <c r="O59" s="3"/>
      <c r="P59" s="29">
        <f t="shared" si="24"/>
        <v>7773.17</v>
      </c>
      <c r="Q59" s="3"/>
      <c r="R59" s="3"/>
      <c r="S59" s="3">
        <v>949.5</v>
      </c>
      <c r="T59" s="3">
        <v>0.01</v>
      </c>
      <c r="U59" s="32">
        <f t="shared" si="25"/>
        <v>894.06</v>
      </c>
      <c r="V59" s="29"/>
      <c r="W59" s="29">
        <f>SUM(S59:U59)+G59</f>
        <v>2613.5699999999997</v>
      </c>
      <c r="X59" s="33">
        <f t="shared" si="22"/>
        <v>5159.6000000000004</v>
      </c>
      <c r="Y59" s="53">
        <v>441.77</v>
      </c>
      <c r="Z59" s="3">
        <f t="shared" si="26"/>
        <v>1593.75</v>
      </c>
      <c r="AA59" s="35">
        <f t="shared" si="27"/>
        <v>155.49</v>
      </c>
      <c r="AB59" s="36">
        <f t="shared" si="23"/>
        <v>2191.0100000000002</v>
      </c>
    </row>
    <row r="60" spans="1:28" ht="91.5" x14ac:dyDescent="0.35">
      <c r="A60" s="1"/>
      <c r="B60" t="s">
        <v>145</v>
      </c>
      <c r="C60" s="2" t="s">
        <v>146</v>
      </c>
      <c r="D60" s="61" t="s">
        <v>144</v>
      </c>
      <c r="E60" s="3">
        <f>7774.4/15*14</f>
        <v>7256.1066666666666</v>
      </c>
      <c r="F60" s="77">
        <v>14</v>
      </c>
      <c r="G60" s="3"/>
      <c r="H60" s="3"/>
      <c r="I60" s="3"/>
      <c r="J60" s="3"/>
      <c r="K60" s="3"/>
      <c r="L60" s="3"/>
      <c r="M60" s="3"/>
      <c r="N60" s="51">
        <v>14.81</v>
      </c>
      <c r="O60" s="3"/>
      <c r="P60" s="29">
        <f t="shared" si="24"/>
        <v>7241.2966666666662</v>
      </c>
      <c r="Q60" s="3"/>
      <c r="R60" s="3"/>
      <c r="S60" s="3">
        <v>838.79</v>
      </c>
      <c r="T60" s="3">
        <v>0.05</v>
      </c>
      <c r="U60" s="32">
        <v>894.06</v>
      </c>
      <c r="V60" s="29"/>
      <c r="W60" s="29">
        <f>SUM(S60:U60)+G60</f>
        <v>1732.8999999999999</v>
      </c>
      <c r="X60" s="33">
        <f t="shared" si="22"/>
        <v>5508.3966666666665</v>
      </c>
      <c r="Y60" s="53">
        <v>441.77</v>
      </c>
      <c r="Z60" s="3">
        <v>1593.75</v>
      </c>
      <c r="AA60" s="35">
        <v>155.49</v>
      </c>
      <c r="AB60" s="36">
        <f t="shared" si="23"/>
        <v>2191.0100000000002</v>
      </c>
    </row>
    <row r="61" spans="1:28" ht="91.5" x14ac:dyDescent="0.35">
      <c r="A61" s="1"/>
      <c r="B61" t="s">
        <v>147</v>
      </c>
      <c r="C61" s="2" t="s">
        <v>148</v>
      </c>
      <c r="D61" s="61" t="s">
        <v>144</v>
      </c>
      <c r="E61" s="3">
        <v>7774.4</v>
      </c>
      <c r="F61" s="77">
        <v>15</v>
      </c>
      <c r="G61" s="31">
        <v>3236</v>
      </c>
      <c r="H61" s="3"/>
      <c r="I61" s="3"/>
      <c r="J61" s="3"/>
      <c r="K61" s="3"/>
      <c r="L61" s="3"/>
      <c r="M61" s="3"/>
      <c r="N61" s="51"/>
      <c r="O61" s="3"/>
      <c r="P61" s="29">
        <f t="shared" si="24"/>
        <v>7774.4</v>
      </c>
      <c r="Q61" s="3"/>
      <c r="R61" s="3"/>
      <c r="S61" s="3">
        <v>949.5</v>
      </c>
      <c r="T61" s="3">
        <v>0.04</v>
      </c>
      <c r="U61" s="32">
        <f t="shared" si="25"/>
        <v>894.06</v>
      </c>
      <c r="V61" s="29">
        <v>200</v>
      </c>
      <c r="W61" s="29">
        <f>SUM(S61:V61)+G61</f>
        <v>5279.6</v>
      </c>
      <c r="X61" s="33">
        <f t="shared" si="22"/>
        <v>2494.7999999999993</v>
      </c>
      <c r="Y61" s="53">
        <v>441.77</v>
      </c>
      <c r="Z61" s="3">
        <f t="shared" si="26"/>
        <v>1593.75</v>
      </c>
      <c r="AA61" s="35">
        <f t="shared" si="27"/>
        <v>155.49</v>
      </c>
      <c r="AB61" s="36">
        <f t="shared" si="23"/>
        <v>2191.0100000000002</v>
      </c>
    </row>
    <row r="62" spans="1:28" ht="18.75" x14ac:dyDescent="0.3">
      <c r="A62" s="1"/>
      <c r="B62" s="23" t="s">
        <v>36</v>
      </c>
      <c r="C62" s="40"/>
      <c r="D62" s="41"/>
      <c r="E62" s="42">
        <f>SUM(E56:E61)</f>
        <v>46765.066666666666</v>
      </c>
      <c r="F62" s="42"/>
      <c r="G62" s="42">
        <f>SUM(G56:G61)</f>
        <v>4959</v>
      </c>
      <c r="H62" s="42">
        <f>SUM(H56:H61)</f>
        <v>0</v>
      </c>
      <c r="I62" s="42"/>
      <c r="J62" s="42"/>
      <c r="K62" s="42"/>
      <c r="L62" s="42"/>
      <c r="M62" s="42"/>
      <c r="N62" s="42">
        <f>SUM(N56:N61)</f>
        <v>26.1</v>
      </c>
      <c r="O62" s="42">
        <f>SUM(O56:O61)</f>
        <v>0</v>
      </c>
      <c r="P62" s="42">
        <f>SUM(P56:P61)</f>
        <v>46738.966666666667</v>
      </c>
      <c r="Q62" s="42">
        <f t="shared" ref="Q62:AB62" si="28">SUM(Q56:Q61)</f>
        <v>0</v>
      </c>
      <c r="R62" s="42">
        <f t="shared" si="28"/>
        <v>0</v>
      </c>
      <c r="S62" s="42">
        <f t="shared" si="28"/>
        <v>5722.3600000000006</v>
      </c>
      <c r="T62" s="42">
        <f t="shared" si="28"/>
        <v>0.26</v>
      </c>
      <c r="U62" s="42">
        <f t="shared" si="28"/>
        <v>4492.95</v>
      </c>
      <c r="V62" s="42">
        <f t="shared" si="28"/>
        <v>200</v>
      </c>
      <c r="W62" s="42">
        <f t="shared" si="28"/>
        <v>15374.57</v>
      </c>
      <c r="X62" s="42">
        <f>SUM(X56:X61)</f>
        <v>31364.396666666664</v>
      </c>
      <c r="Y62" s="42">
        <f t="shared" si="28"/>
        <v>2668.0099999999998</v>
      </c>
      <c r="Z62" s="42">
        <f t="shared" si="28"/>
        <v>8009.15</v>
      </c>
      <c r="AA62" s="42">
        <f t="shared" si="28"/>
        <v>781.39</v>
      </c>
      <c r="AB62" s="42">
        <f t="shared" si="28"/>
        <v>11458.550000000001</v>
      </c>
    </row>
    <row r="63" spans="1:28" ht="18.75" x14ac:dyDescent="0.3">
      <c r="A63" s="1"/>
      <c r="B63" s="23"/>
      <c r="C63" s="2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62"/>
      <c r="Q63" s="62"/>
      <c r="R63" s="62"/>
      <c r="S63" s="62"/>
      <c r="T63" s="62"/>
      <c r="U63" s="62"/>
      <c r="V63" s="62"/>
      <c r="W63" s="62"/>
      <c r="X63" s="63"/>
      <c r="Y63" s="64"/>
      <c r="Z63" s="64"/>
      <c r="AA63" s="64"/>
      <c r="AB63" s="64"/>
    </row>
    <row r="64" spans="1:28" ht="18.75" x14ac:dyDescent="0.3">
      <c r="A64" s="1"/>
      <c r="B64" s="23" t="s">
        <v>149</v>
      </c>
      <c r="C64" s="40" t="s">
        <v>150</v>
      </c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3"/>
      <c r="Y64" s="1"/>
      <c r="Z64" s="1"/>
      <c r="AA64" s="1"/>
      <c r="AB64" s="1"/>
    </row>
    <row r="65" spans="1:28" ht="21" x14ac:dyDescent="0.35">
      <c r="A65" s="27"/>
      <c r="B65" s="37" t="s">
        <v>151</v>
      </c>
      <c r="C65" s="28" t="s">
        <v>152</v>
      </c>
      <c r="D65" s="37" t="s">
        <v>153</v>
      </c>
      <c r="E65" s="29">
        <v>4342.5</v>
      </c>
      <c r="F65" s="30">
        <v>15</v>
      </c>
      <c r="G65" s="60"/>
      <c r="H65" s="29"/>
      <c r="I65" s="29"/>
      <c r="J65" s="29"/>
      <c r="K65" s="29"/>
      <c r="L65" s="29"/>
      <c r="M65" s="29"/>
      <c r="N65" s="38"/>
      <c r="O65" s="29"/>
      <c r="P65" s="29">
        <f>E65+-N65</f>
        <v>4342.5</v>
      </c>
      <c r="Q65" s="29"/>
      <c r="R65" s="29"/>
      <c r="S65" s="3">
        <v>337.28</v>
      </c>
      <c r="T65" s="3">
        <v>0.02</v>
      </c>
      <c r="U65" s="32"/>
      <c r="V65" s="29"/>
      <c r="W65" s="29">
        <f>SUM(S65:U65)+G65</f>
        <v>337.29999999999995</v>
      </c>
      <c r="X65" s="33">
        <f t="shared" ref="X65:X69" si="29">P65-W65</f>
        <v>4005.2</v>
      </c>
      <c r="Y65" s="48">
        <v>348.06</v>
      </c>
      <c r="Z65" s="3"/>
      <c r="AA65" s="35"/>
      <c r="AB65" s="36">
        <f t="shared" ref="AB65:AB69" si="30">SUM(Y65:AA65)</f>
        <v>348.06</v>
      </c>
    </row>
    <row r="66" spans="1:28" ht="21" x14ac:dyDescent="0.35">
      <c r="A66" s="1"/>
      <c r="B66" s="37" t="s">
        <v>154</v>
      </c>
      <c r="C66" s="28" t="s">
        <v>155</v>
      </c>
      <c r="D66" s="37" t="s">
        <v>153</v>
      </c>
      <c r="E66" s="29">
        <v>4342.5</v>
      </c>
      <c r="F66" s="77">
        <v>15</v>
      </c>
      <c r="G66" s="29"/>
      <c r="H66" s="3"/>
      <c r="I66" s="3"/>
      <c r="J66" s="3"/>
      <c r="K66" s="3"/>
      <c r="L66" s="3"/>
      <c r="M66" s="3"/>
      <c r="N66" s="51"/>
      <c r="O66" s="3"/>
      <c r="P66" s="29">
        <f t="shared" ref="P66:P69" si="31">E66+-N66</f>
        <v>4342.5</v>
      </c>
      <c r="Q66" s="3"/>
      <c r="R66" s="3"/>
      <c r="S66" s="3">
        <v>337.28</v>
      </c>
      <c r="T66" s="3">
        <v>0.02</v>
      </c>
      <c r="U66" s="32"/>
      <c r="V66" s="29"/>
      <c r="W66" s="29">
        <f>SUM(S66:U66)+G66</f>
        <v>337.29999999999995</v>
      </c>
      <c r="X66" s="33">
        <f t="shared" si="29"/>
        <v>4005.2</v>
      </c>
      <c r="Y66" s="48">
        <v>348.06</v>
      </c>
      <c r="Z66" s="3"/>
      <c r="AA66" s="35"/>
      <c r="AB66" s="36">
        <f t="shared" si="30"/>
        <v>348.06</v>
      </c>
    </row>
    <row r="67" spans="1:28" ht="21" x14ac:dyDescent="0.35">
      <c r="A67" s="1"/>
      <c r="B67" s="37" t="s">
        <v>156</v>
      </c>
      <c r="C67" s="2" t="s">
        <v>157</v>
      </c>
      <c r="D67" s="37" t="s">
        <v>153</v>
      </c>
      <c r="E67" s="29">
        <v>4342.5</v>
      </c>
      <c r="F67" s="77">
        <v>15</v>
      </c>
      <c r="G67" s="3"/>
      <c r="H67" s="3"/>
      <c r="I67" s="3"/>
      <c r="J67" s="3"/>
      <c r="K67" s="3"/>
      <c r="L67" s="3"/>
      <c r="M67" s="3"/>
      <c r="N67" s="51"/>
      <c r="O67" s="3"/>
      <c r="P67" s="29">
        <f t="shared" si="31"/>
        <v>4342.5</v>
      </c>
      <c r="Q67" s="3"/>
      <c r="R67" s="3"/>
      <c r="S67" s="3">
        <v>337.28</v>
      </c>
      <c r="T67" s="3">
        <v>0.02</v>
      </c>
      <c r="U67" s="32"/>
      <c r="V67" s="29"/>
      <c r="W67" s="29">
        <f>SUM(S67:U67)+G67</f>
        <v>337.29999999999995</v>
      </c>
      <c r="X67" s="33">
        <f t="shared" si="29"/>
        <v>4005.2</v>
      </c>
      <c r="Y67" s="48">
        <v>348.06</v>
      </c>
      <c r="Z67" s="3"/>
      <c r="AA67" s="35"/>
      <c r="AB67" s="36">
        <f t="shared" si="30"/>
        <v>348.06</v>
      </c>
    </row>
    <row r="68" spans="1:28" ht="21" x14ac:dyDescent="0.35">
      <c r="A68" s="1" t="s">
        <v>141</v>
      </c>
      <c r="B68" s="37" t="s">
        <v>158</v>
      </c>
      <c r="C68" s="2" t="s">
        <v>159</v>
      </c>
      <c r="D68" s="37" t="s">
        <v>153</v>
      </c>
      <c r="E68" s="29">
        <v>4342.5</v>
      </c>
      <c r="F68" s="77">
        <v>15</v>
      </c>
      <c r="G68" s="29"/>
      <c r="H68" s="3"/>
      <c r="I68" s="3"/>
      <c r="J68" s="3"/>
      <c r="K68" s="3"/>
      <c r="L68" s="3"/>
      <c r="M68" s="3"/>
      <c r="N68" s="51"/>
      <c r="O68" s="3"/>
      <c r="P68" s="29">
        <f t="shared" si="31"/>
        <v>4342.5</v>
      </c>
      <c r="Q68" s="3"/>
      <c r="R68" s="3"/>
      <c r="S68" s="3">
        <v>337.28</v>
      </c>
      <c r="T68" s="3">
        <v>-0.18</v>
      </c>
      <c r="U68" s="32"/>
      <c r="V68" s="29"/>
      <c r="W68" s="29">
        <f>SUM(S68:U68)+G68</f>
        <v>337.09999999999997</v>
      </c>
      <c r="X68" s="33">
        <f t="shared" si="29"/>
        <v>4005.4</v>
      </c>
      <c r="Y68" s="48">
        <v>348.06</v>
      </c>
      <c r="Z68" s="3"/>
      <c r="AA68" s="35"/>
      <c r="AB68" s="36">
        <f t="shared" si="30"/>
        <v>348.06</v>
      </c>
    </row>
    <row r="69" spans="1:28" ht="31.5" x14ac:dyDescent="0.35">
      <c r="A69" s="1"/>
      <c r="B69" s="37" t="s">
        <v>160</v>
      </c>
      <c r="C69" s="2" t="s">
        <v>161</v>
      </c>
      <c r="D69" s="61" t="s">
        <v>58</v>
      </c>
      <c r="E69" s="3">
        <v>3000</v>
      </c>
      <c r="F69" s="77">
        <v>15</v>
      </c>
      <c r="G69" s="3"/>
      <c r="H69" s="3"/>
      <c r="I69" s="3"/>
      <c r="J69" s="3"/>
      <c r="K69" s="3"/>
      <c r="L69" s="3"/>
      <c r="M69" s="3"/>
      <c r="N69" s="51"/>
      <c r="O69" s="3"/>
      <c r="P69" s="29">
        <f t="shared" si="31"/>
        <v>3000</v>
      </c>
      <c r="Q69" s="3"/>
      <c r="R69" s="3"/>
      <c r="S69" s="3">
        <v>45.84</v>
      </c>
      <c r="T69" s="3">
        <v>-0.04</v>
      </c>
      <c r="U69" s="32"/>
      <c r="V69" s="29"/>
      <c r="W69" s="29">
        <f>SUM(S69:U69)+G69</f>
        <v>45.800000000000004</v>
      </c>
      <c r="X69" s="33">
        <f t="shared" si="29"/>
        <v>2954.2</v>
      </c>
      <c r="Y69" s="53">
        <v>322.73</v>
      </c>
      <c r="Z69" s="3"/>
      <c r="AA69" s="35"/>
      <c r="AB69" s="36">
        <f t="shared" si="30"/>
        <v>322.73</v>
      </c>
    </row>
    <row r="70" spans="1:28" ht="18.75" x14ac:dyDescent="0.3">
      <c r="A70" s="1"/>
      <c r="B70" s="23" t="s">
        <v>36</v>
      </c>
      <c r="C70" s="40"/>
      <c r="D70" s="41"/>
      <c r="E70" s="42">
        <f>SUM(E65:E69)</f>
        <v>20370</v>
      </c>
      <c r="F70" s="42"/>
      <c r="G70" s="42">
        <f>SUM(G65:G69)</f>
        <v>0</v>
      </c>
      <c r="H70" s="42">
        <f>SUM(H65:H69)</f>
        <v>0</v>
      </c>
      <c r="I70" s="42"/>
      <c r="J70" s="42"/>
      <c r="K70" s="42"/>
      <c r="L70" s="42"/>
      <c r="M70" s="42"/>
      <c r="N70" s="42">
        <f t="shared" ref="N70:AB70" si="32">SUM(N65:N69)</f>
        <v>0</v>
      </c>
      <c r="O70" s="42">
        <f t="shared" si="32"/>
        <v>0</v>
      </c>
      <c r="P70" s="42">
        <f t="shared" si="32"/>
        <v>20370</v>
      </c>
      <c r="Q70" s="42">
        <f t="shared" si="32"/>
        <v>0</v>
      </c>
      <c r="R70" s="42">
        <f t="shared" si="32"/>
        <v>0</v>
      </c>
      <c r="S70" s="42">
        <f t="shared" si="32"/>
        <v>1394.9599999999998</v>
      </c>
      <c r="T70" s="42">
        <f t="shared" si="32"/>
        <v>-0.16</v>
      </c>
      <c r="U70" s="42">
        <f t="shared" si="32"/>
        <v>0</v>
      </c>
      <c r="V70" s="42">
        <f t="shared" si="32"/>
        <v>0</v>
      </c>
      <c r="W70" s="42">
        <f t="shared" si="32"/>
        <v>1394.7999999999997</v>
      </c>
      <c r="X70" s="42">
        <f t="shared" si="32"/>
        <v>18975.199999999997</v>
      </c>
      <c r="Y70" s="42">
        <f t="shared" si="32"/>
        <v>1714.97</v>
      </c>
      <c r="Z70" s="42">
        <f t="shared" si="32"/>
        <v>0</v>
      </c>
      <c r="AA70" s="42">
        <f t="shared" si="32"/>
        <v>0</v>
      </c>
      <c r="AB70" s="42">
        <f t="shared" si="32"/>
        <v>1714.97</v>
      </c>
    </row>
    <row r="71" spans="1:28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65"/>
      <c r="Y71" s="1"/>
      <c r="Z71" s="1"/>
      <c r="AA71" s="1"/>
      <c r="AB71" s="1"/>
    </row>
    <row r="72" spans="1:28" ht="18.75" x14ac:dyDescent="0.3">
      <c r="A72" s="1"/>
      <c r="B72" s="1"/>
      <c r="C72" s="66" t="s">
        <v>162</v>
      </c>
      <c r="D72" s="1"/>
      <c r="E72" s="67">
        <f>E9+E25+E32+E53+E62+E70</f>
        <v>338657.8326666666</v>
      </c>
      <c r="F72" s="67">
        <f t="shared" ref="F72:AB72" si="33">F9+F25+F32+F53+F62+F70</f>
        <v>0</v>
      </c>
      <c r="G72" s="67">
        <f t="shared" si="33"/>
        <v>31760.449999999997</v>
      </c>
      <c r="H72" s="67" t="e">
        <f t="shared" si="33"/>
        <v>#REF!</v>
      </c>
      <c r="I72" s="67">
        <f t="shared" si="33"/>
        <v>9591.44</v>
      </c>
      <c r="J72" s="67">
        <f t="shared" si="33"/>
        <v>4695.17</v>
      </c>
      <c r="K72" s="67">
        <f t="shared" si="33"/>
        <v>199.13</v>
      </c>
      <c r="L72" s="67">
        <f t="shared" si="33"/>
        <v>1375.93</v>
      </c>
      <c r="M72" s="67">
        <f t="shared" si="33"/>
        <v>37.35</v>
      </c>
      <c r="N72" s="67">
        <f t="shared" si="33"/>
        <v>215.85</v>
      </c>
      <c r="O72" s="67">
        <f t="shared" si="33"/>
        <v>0</v>
      </c>
      <c r="P72" s="67">
        <f t="shared" si="33"/>
        <v>338441.98266666668</v>
      </c>
      <c r="Q72" s="67">
        <f t="shared" si="33"/>
        <v>0</v>
      </c>
      <c r="R72" s="67">
        <f t="shared" si="33"/>
        <v>0</v>
      </c>
      <c r="S72" s="67">
        <f t="shared" si="33"/>
        <v>42410.83</v>
      </c>
      <c r="T72" s="67">
        <f t="shared" si="33"/>
        <v>0.41999999999999993</v>
      </c>
      <c r="U72" s="67">
        <f t="shared" si="33"/>
        <v>34889.469999999994</v>
      </c>
      <c r="V72" s="67">
        <f t="shared" si="33"/>
        <v>200</v>
      </c>
      <c r="W72" s="67">
        <f t="shared" si="33"/>
        <v>125160.19000000002</v>
      </c>
      <c r="X72" s="67">
        <f t="shared" si="33"/>
        <v>213281.79266666668</v>
      </c>
      <c r="Y72" s="67">
        <f t="shared" si="33"/>
        <v>19770.199999999997</v>
      </c>
      <c r="Z72" s="67">
        <f t="shared" si="33"/>
        <v>62194.360000000008</v>
      </c>
      <c r="AA72" s="67">
        <f t="shared" si="33"/>
        <v>6067.7399999999989</v>
      </c>
      <c r="AB72" s="67">
        <f t="shared" si="33"/>
        <v>88032.3</v>
      </c>
    </row>
    <row r="73" spans="1:28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4"/>
      <c r="Y73" s="68"/>
      <c r="Z73" s="68"/>
      <c r="AA73" s="1"/>
      <c r="AB73" s="1"/>
    </row>
    <row r="74" spans="1:28" ht="15.75" x14ac:dyDescent="0.25">
      <c r="A74" s="1"/>
      <c r="B74" s="1"/>
      <c r="C74" t="s">
        <v>163</v>
      </c>
      <c r="D74" s="1"/>
      <c r="E74" s="3">
        <f>E7+E8+E12+E13+E14+E15+E17+E18+E19+E20+E21+E22+E23+E24+E28+E29+E30+E31+E36+E37+E38+E39+E40+E41+E42+E43+8007.06+E46+E47+E48+E49+E50+E51+E52+E57+E58+E59+7774.4+E61</f>
        <v>303386.83000000007</v>
      </c>
      <c r="F74" s="3">
        <f>E74*17.5%</f>
        <v>53092.695250000012</v>
      </c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69"/>
      <c r="Y74" s="1"/>
      <c r="Z74" s="3"/>
      <c r="AA74" s="1"/>
      <c r="AB74" s="1"/>
    </row>
    <row r="75" spans="1:28" ht="15.75" x14ac:dyDescent="0.25">
      <c r="A75" s="1"/>
      <c r="B75" s="1"/>
      <c r="C75" t="s">
        <v>164</v>
      </c>
      <c r="D75" s="1"/>
      <c r="E75" s="3">
        <f>E74</f>
        <v>303386.83000000007</v>
      </c>
      <c r="F75" s="3">
        <f>E75*3%</f>
        <v>9101.6049000000021</v>
      </c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1"/>
      <c r="Z75" s="1"/>
      <c r="AA75" s="1"/>
      <c r="AB75" s="1"/>
    </row>
    <row r="76" spans="1:28" ht="15.75" x14ac:dyDescent="0.25">
      <c r="A76" s="1"/>
      <c r="B76" s="1"/>
      <c r="C76" s="1"/>
      <c r="D76" s="1"/>
      <c r="E76" s="1"/>
      <c r="F76" s="3">
        <f>SUM(F74:F75)</f>
        <v>62194.30015000001</v>
      </c>
      <c r="G76" s="3"/>
      <c r="H76" s="1"/>
      <c r="I76" s="1"/>
      <c r="J76" s="1"/>
      <c r="K76" s="1"/>
      <c r="L76" s="1"/>
      <c r="M76" s="1"/>
      <c r="N76" s="53"/>
      <c r="O76" s="1"/>
      <c r="P76" s="1"/>
      <c r="Q76" s="1"/>
      <c r="R76" s="1"/>
      <c r="S76" s="1"/>
      <c r="T76" s="1"/>
      <c r="U76" s="1"/>
      <c r="V76" s="1"/>
      <c r="W76" s="1"/>
      <c r="X76" s="2"/>
      <c r="Y76" s="1"/>
      <c r="Z76" s="1"/>
      <c r="AA76" s="1"/>
      <c r="AB76" s="1"/>
    </row>
    <row r="77" spans="1:28" ht="15.75" x14ac:dyDescent="0.25">
      <c r="A77" s="1"/>
      <c r="B77" s="1"/>
      <c r="C77" s="1"/>
      <c r="D77" s="1"/>
      <c r="E77" s="1"/>
      <c r="F77" s="3"/>
      <c r="G77" s="3"/>
      <c r="H77" s="1"/>
      <c r="I77" s="1"/>
      <c r="J77" s="1"/>
      <c r="K77" s="1"/>
      <c r="L77" s="1"/>
      <c r="M77" s="1"/>
      <c r="N77" s="53"/>
      <c r="O77" s="1"/>
      <c r="P77" s="1"/>
      <c r="Q77" s="1"/>
      <c r="R77" s="1"/>
      <c r="S77" s="1"/>
      <c r="T77" s="1"/>
      <c r="U77" s="1"/>
      <c r="V77" s="1"/>
      <c r="W77" s="1"/>
      <c r="X77" s="2"/>
      <c r="Y77" s="1"/>
      <c r="Z77" s="1"/>
      <c r="AA77" s="1"/>
      <c r="AB77" s="1"/>
    </row>
    <row r="78" spans="1:28" ht="15.75" x14ac:dyDescent="0.25">
      <c r="A78" s="1"/>
      <c r="B78" s="1"/>
      <c r="C78" s="1"/>
      <c r="D78" s="1"/>
      <c r="E78" s="1"/>
      <c r="F78" s="3"/>
      <c r="G78" s="3"/>
      <c r="H78" s="1"/>
      <c r="I78" s="1"/>
      <c r="J78" s="1"/>
      <c r="K78" s="1"/>
      <c r="L78" s="1"/>
      <c r="M78" s="1"/>
      <c r="N78" s="53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1"/>
      <c r="AA78" s="1"/>
      <c r="AB78" s="1"/>
    </row>
    <row r="79" spans="1:28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1"/>
      <c r="AA79" s="1"/>
      <c r="AB79" s="1"/>
    </row>
    <row r="80" spans="1:28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1"/>
      <c r="Z80" s="1"/>
      <c r="AA80" s="1"/>
      <c r="AB80" s="1"/>
    </row>
    <row r="81" spans="1:28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1"/>
      <c r="Z81" s="1"/>
      <c r="AA81" s="1"/>
      <c r="AB81" s="1"/>
    </row>
    <row r="82" spans="1:28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1"/>
      <c r="Z82" s="1"/>
      <c r="AA82" s="1"/>
      <c r="AB82" s="1"/>
    </row>
    <row r="83" spans="1:28" ht="16.5" thickBot="1" x14ac:dyDescent="0.3">
      <c r="A83" s="1"/>
      <c r="B83" s="1"/>
      <c r="C83" s="1"/>
      <c r="D83" s="1"/>
      <c r="E83" s="80"/>
      <c r="F83" s="80"/>
      <c r="G83" s="77"/>
      <c r="H83" s="77"/>
      <c r="I83" s="77"/>
      <c r="J83" s="77"/>
      <c r="K83" s="77"/>
      <c r="L83" s="77"/>
      <c r="M83" s="77"/>
      <c r="N83" s="1"/>
      <c r="O83" s="1"/>
      <c r="P83" s="1"/>
      <c r="Q83" s="1"/>
      <c r="R83" s="1"/>
      <c r="S83" s="1"/>
      <c r="T83" s="1"/>
      <c r="U83" s="81"/>
      <c r="V83" s="81"/>
      <c r="W83" s="81"/>
      <c r="X83" s="2"/>
      <c r="Y83" s="1"/>
      <c r="Z83" s="1"/>
      <c r="AA83" s="1"/>
      <c r="AB83" s="1"/>
    </row>
    <row r="84" spans="1:28" x14ac:dyDescent="0.25">
      <c r="A84" s="1"/>
      <c r="B84" s="1"/>
      <c r="C84" s="1"/>
      <c r="D84" s="1"/>
      <c r="E84" s="82" t="s">
        <v>165</v>
      </c>
      <c r="F84" s="81"/>
      <c r="G84" s="77"/>
      <c r="H84" s="77"/>
      <c r="I84" s="77"/>
      <c r="J84" s="77"/>
      <c r="K84" s="77"/>
      <c r="L84" s="77"/>
      <c r="M84" s="77"/>
      <c r="N84" s="1"/>
      <c r="O84" s="1"/>
      <c r="P84" s="1"/>
      <c r="Q84" s="1"/>
      <c r="R84" s="1"/>
      <c r="S84" s="1"/>
      <c r="T84" s="1"/>
      <c r="U84" s="1"/>
      <c r="V84" s="1"/>
      <c r="W84" s="1"/>
      <c r="X84" s="83" t="s">
        <v>166</v>
      </c>
      <c r="Y84" s="83"/>
      <c r="Z84" s="77"/>
      <c r="AA84" s="1"/>
      <c r="AB84" s="1"/>
    </row>
    <row r="85" spans="1:28" ht="15.75" x14ac:dyDescent="0.25">
      <c r="A85" s="1"/>
      <c r="B85" s="1"/>
      <c r="C85" s="1"/>
      <c r="D85" s="1"/>
      <c r="E85" s="44" t="s">
        <v>49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 t="s">
        <v>167</v>
      </c>
      <c r="Y85" s="1"/>
      <c r="Z85" s="1"/>
      <c r="AA85" s="1"/>
      <c r="AB85" s="1"/>
    </row>
    <row r="86" spans="1:28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1"/>
      <c r="Z86" s="1"/>
      <c r="AA86" s="1"/>
      <c r="AB86" s="1"/>
    </row>
    <row r="87" spans="1:28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1"/>
      <c r="Z87" s="1"/>
      <c r="AA87" s="1"/>
      <c r="AB87" s="1"/>
    </row>
    <row r="88" spans="1:28" ht="15.75" x14ac:dyDescent="0.25">
      <c r="A88" s="1"/>
      <c r="B88" s="1"/>
      <c r="C88" s="1" t="s">
        <v>168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1"/>
      <c r="Z88" s="1"/>
      <c r="AA88" s="1"/>
      <c r="AB88" s="1"/>
    </row>
  </sheetData>
  <mergeCells count="5">
    <mergeCell ref="B4:AB4"/>
    <mergeCell ref="E83:F83"/>
    <mergeCell ref="U83:W83"/>
    <mergeCell ref="E84:F84"/>
    <mergeCell ref="X84:Y8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8"/>
  <sheetViews>
    <sheetView tabSelected="1" workbookViewId="0">
      <selection sqref="A1:AB88"/>
    </sheetView>
  </sheetViews>
  <sheetFormatPr baseColWidth="10" defaultRowHeight="15" x14ac:dyDescent="0.25"/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</row>
    <row r="3" spans="1:28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1"/>
      <c r="Z3" s="1"/>
      <c r="AA3" s="1"/>
      <c r="AB3" s="1"/>
    </row>
    <row r="4" spans="1:28" ht="18.75" x14ac:dyDescent="0.25">
      <c r="A4" s="1"/>
      <c r="B4" s="78" t="s">
        <v>180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  <c r="W4" s="78"/>
      <c r="X4" s="78"/>
      <c r="Y4" s="78"/>
      <c r="Z4" s="78"/>
      <c r="AA4" s="78"/>
      <c r="AB4" s="78"/>
    </row>
    <row r="5" spans="1:28" ht="67.5" x14ac:dyDescent="0.25">
      <c r="A5" s="5"/>
      <c r="B5" s="6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1" t="s">
        <v>6</v>
      </c>
      <c r="H5" s="12" t="s">
        <v>7</v>
      </c>
      <c r="I5" s="13" t="s">
        <v>8</v>
      </c>
      <c r="J5" s="11" t="s">
        <v>9</v>
      </c>
      <c r="K5" s="11" t="s">
        <v>10</v>
      </c>
      <c r="L5" s="14" t="s">
        <v>11</v>
      </c>
      <c r="M5" s="14" t="s">
        <v>12</v>
      </c>
      <c r="N5" s="15" t="s">
        <v>13</v>
      </c>
      <c r="O5" s="8" t="s">
        <v>14</v>
      </c>
      <c r="P5" s="8" t="s">
        <v>15</v>
      </c>
      <c r="Q5" s="16" t="s">
        <v>16</v>
      </c>
      <c r="R5" s="10" t="s">
        <v>17</v>
      </c>
      <c r="S5" s="10" t="s">
        <v>18</v>
      </c>
      <c r="T5" s="17" t="s">
        <v>19</v>
      </c>
      <c r="U5" s="18" t="s">
        <v>20</v>
      </c>
      <c r="V5" s="19" t="s">
        <v>21</v>
      </c>
      <c r="W5" s="20" t="s">
        <v>22</v>
      </c>
      <c r="X5" s="21" t="s">
        <v>23</v>
      </c>
      <c r="Y5" s="16" t="s">
        <v>24</v>
      </c>
      <c r="Z5" s="16" t="s">
        <v>25</v>
      </c>
      <c r="AA5" s="22" t="s">
        <v>26</v>
      </c>
      <c r="AB5" s="22" t="s">
        <v>27</v>
      </c>
    </row>
    <row r="6" spans="1:28" ht="15.75" x14ac:dyDescent="0.25">
      <c r="A6" s="1"/>
      <c r="B6" s="23" t="s">
        <v>28</v>
      </c>
      <c r="C6" s="24" t="s">
        <v>29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3"/>
      <c r="R6" s="3"/>
      <c r="S6" s="3"/>
      <c r="T6" s="25"/>
      <c r="U6" s="3"/>
      <c r="V6" s="3"/>
      <c r="W6" s="25"/>
      <c r="X6" s="4"/>
      <c r="Y6" s="1"/>
      <c r="Z6" s="1"/>
      <c r="AA6" s="1"/>
      <c r="AB6" s="1"/>
    </row>
    <row r="7" spans="1:28" ht="21" x14ac:dyDescent="0.35">
      <c r="A7" s="27"/>
      <c r="B7" s="27" t="s">
        <v>30</v>
      </c>
      <c r="C7" s="28" t="s">
        <v>31</v>
      </c>
      <c r="D7" s="27" t="s">
        <v>32</v>
      </c>
      <c r="E7" s="29">
        <v>24148.799999999999</v>
      </c>
      <c r="F7" s="30">
        <v>15</v>
      </c>
      <c r="G7" s="31">
        <v>5000</v>
      </c>
      <c r="H7" s="29"/>
      <c r="I7" s="29"/>
      <c r="J7" s="29"/>
      <c r="K7" s="29"/>
      <c r="L7" s="29"/>
      <c r="M7" s="29"/>
      <c r="N7" s="29"/>
      <c r="O7" s="29"/>
      <c r="P7" s="29">
        <f>E7+-N7</f>
        <v>24148.799999999999</v>
      </c>
      <c r="Q7" s="29">
        <v>0</v>
      </c>
      <c r="R7" s="29"/>
      <c r="S7" s="29">
        <v>4885.82</v>
      </c>
      <c r="T7" s="29">
        <v>7.0000000000000007E-2</v>
      </c>
      <c r="U7" s="32">
        <f>ROUND(E7*0.115,2)</f>
        <v>2777.11</v>
      </c>
      <c r="V7" s="29"/>
      <c r="W7" s="29">
        <f>SUM(S7:U7)+G7</f>
        <v>12663</v>
      </c>
      <c r="X7" s="33">
        <f>P7-W7</f>
        <v>11485.8</v>
      </c>
      <c r="Y7" s="34">
        <v>888.89</v>
      </c>
      <c r="Z7" s="29">
        <f>ROUND(+E7*17.5%,2)+ROUND(E7*3%,2)</f>
        <v>4950.5</v>
      </c>
      <c r="AA7" s="35">
        <f>ROUND(+E7*2%,2)</f>
        <v>482.98</v>
      </c>
      <c r="AB7" s="36">
        <f>SUM(Y7:AA7)</f>
        <v>6322.3700000000008</v>
      </c>
    </row>
    <row r="8" spans="1:28" ht="21" x14ac:dyDescent="0.35">
      <c r="A8" s="27"/>
      <c r="B8" s="37" t="s">
        <v>33</v>
      </c>
      <c r="C8" s="28" t="s">
        <v>34</v>
      </c>
      <c r="D8" s="27" t="s">
        <v>35</v>
      </c>
      <c r="E8" s="29">
        <v>6955</v>
      </c>
      <c r="F8" s="30">
        <v>15</v>
      </c>
      <c r="G8" s="29"/>
      <c r="H8" s="29"/>
      <c r="I8" s="29"/>
      <c r="J8" s="29"/>
      <c r="K8" s="29"/>
      <c r="L8" s="29"/>
      <c r="M8" s="29"/>
      <c r="N8" s="38"/>
      <c r="O8" s="29"/>
      <c r="P8" s="29">
        <f>E8+-N8</f>
        <v>6955</v>
      </c>
      <c r="Q8" s="29">
        <v>0</v>
      </c>
      <c r="R8" s="29"/>
      <c r="S8" s="29">
        <v>774.5</v>
      </c>
      <c r="T8" s="29">
        <v>-0.13</v>
      </c>
      <c r="U8" s="32">
        <f>ROUND(E8*0.115,2)</f>
        <v>799.83</v>
      </c>
      <c r="V8" s="29"/>
      <c r="W8" s="29">
        <f>SUM(S8:U8)+G8</f>
        <v>1574.2</v>
      </c>
      <c r="X8" s="33">
        <f>P8-W8</f>
        <v>5380.8</v>
      </c>
      <c r="Y8" s="34">
        <v>419.4</v>
      </c>
      <c r="Z8" s="29">
        <f>ROUND(+E8*17.5%,2)+ROUND(E8*3%,2)</f>
        <v>1425.7800000000002</v>
      </c>
      <c r="AA8" s="35">
        <f>ROUND(+E8*2%,2)</f>
        <v>139.1</v>
      </c>
      <c r="AB8" s="36">
        <f>SUM(Y8:AA8)</f>
        <v>1984.2800000000002</v>
      </c>
    </row>
    <row r="9" spans="1:28" ht="18.75" x14ac:dyDescent="0.3">
      <c r="A9" s="1"/>
      <c r="B9" s="39" t="s">
        <v>36</v>
      </c>
      <c r="C9" s="40"/>
      <c r="D9" s="41"/>
      <c r="E9" s="42">
        <f>SUM(E7:E8)</f>
        <v>31103.8</v>
      </c>
      <c r="F9" s="42"/>
      <c r="G9" s="42">
        <f>+G8+G7</f>
        <v>5000</v>
      </c>
      <c r="H9" s="42"/>
      <c r="I9" s="42"/>
      <c r="J9" s="42"/>
      <c r="K9" s="42"/>
      <c r="L9" s="42"/>
      <c r="M9" s="42"/>
      <c r="N9" s="42">
        <f>SUM(N7:N8)</f>
        <v>0</v>
      </c>
      <c r="O9" s="42">
        <f>SUM(O7:O8)</f>
        <v>0</v>
      </c>
      <c r="P9" s="42">
        <f>SUM(P7:P8)</f>
        <v>31103.8</v>
      </c>
      <c r="Q9" s="42">
        <f t="shared" ref="Q9:AB9" si="0">SUM(Q7:Q8)</f>
        <v>0</v>
      </c>
      <c r="R9" s="42">
        <f t="shared" si="0"/>
        <v>0</v>
      </c>
      <c r="S9" s="42">
        <f t="shared" si="0"/>
        <v>5660.32</v>
      </c>
      <c r="T9" s="42">
        <f t="shared" si="0"/>
        <v>-0.06</v>
      </c>
      <c r="U9" s="42">
        <f>SUM(U7:U8)</f>
        <v>3576.94</v>
      </c>
      <c r="V9" s="42"/>
      <c r="W9" s="42">
        <f t="shared" si="0"/>
        <v>14237.2</v>
      </c>
      <c r="X9" s="42">
        <f>SUM(X7:X8)</f>
        <v>16866.599999999999</v>
      </c>
      <c r="Y9" s="42">
        <f t="shared" si="0"/>
        <v>1308.29</v>
      </c>
      <c r="Z9" s="42">
        <f t="shared" si="0"/>
        <v>6376.2800000000007</v>
      </c>
      <c r="AA9" s="42">
        <f t="shared" si="0"/>
        <v>622.08000000000004</v>
      </c>
      <c r="AB9" s="42">
        <f t="shared" si="0"/>
        <v>8306.6500000000015</v>
      </c>
    </row>
    <row r="10" spans="1:28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3"/>
      <c r="Y10" s="1"/>
      <c r="Z10" s="1"/>
      <c r="AA10" s="1"/>
      <c r="AB10" s="1"/>
    </row>
    <row r="11" spans="1:28" ht="18.75" x14ac:dyDescent="0.3">
      <c r="A11" s="1"/>
      <c r="B11" s="23" t="s">
        <v>37</v>
      </c>
      <c r="C11" s="40" t="s">
        <v>38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3"/>
      <c r="Y11" s="1"/>
      <c r="Z11" s="1"/>
      <c r="AA11" s="1"/>
      <c r="AB11" s="1"/>
    </row>
    <row r="12" spans="1:28" ht="21" x14ac:dyDescent="0.35">
      <c r="A12" s="27"/>
      <c r="B12" s="27" t="s">
        <v>39</v>
      </c>
      <c r="C12" s="28" t="s">
        <v>40</v>
      </c>
      <c r="D12" s="37" t="s">
        <v>41</v>
      </c>
      <c r="E12" s="29">
        <v>14250</v>
      </c>
      <c r="F12" s="30">
        <v>15</v>
      </c>
      <c r="G12" s="31">
        <v>2858</v>
      </c>
      <c r="H12" s="29"/>
      <c r="I12" s="29"/>
      <c r="J12" s="29"/>
      <c r="K12" s="29"/>
      <c r="L12" s="29"/>
      <c r="M12" s="29"/>
      <c r="N12" s="29"/>
      <c r="O12" s="29"/>
      <c r="P12" s="29">
        <f>E12+-N12</f>
        <v>14250</v>
      </c>
      <c r="Q12" s="29">
        <v>0</v>
      </c>
      <c r="R12" s="29"/>
      <c r="S12" s="29">
        <v>2352.86</v>
      </c>
      <c r="T12" s="29">
        <v>-0.01</v>
      </c>
      <c r="U12" s="32">
        <f>ROUND(E12*0.115,2)</f>
        <v>1638.75</v>
      </c>
      <c r="V12" s="29"/>
      <c r="W12" s="29">
        <f>SUM(S12:U12)+G12</f>
        <v>6849.6</v>
      </c>
      <c r="X12" s="33">
        <f>P12-W12</f>
        <v>7400.4</v>
      </c>
      <c r="Y12" s="34">
        <v>618.59</v>
      </c>
      <c r="Z12" s="29">
        <f>ROUND(+E12*17.5%,2)+ROUND(E12*3%,2)</f>
        <v>2921.25</v>
      </c>
      <c r="AA12" s="35">
        <f>ROUND(+E12*2%,2)</f>
        <v>285</v>
      </c>
      <c r="AB12" s="36">
        <f t="shared" ref="AB12:AB24" si="1">SUM(Y12:AA12)</f>
        <v>3824.84</v>
      </c>
    </row>
    <row r="13" spans="1:28" ht="21" x14ac:dyDescent="0.35">
      <c r="A13" s="1"/>
      <c r="B13" s="44" t="s">
        <v>42</v>
      </c>
      <c r="C13" s="28" t="s">
        <v>43</v>
      </c>
      <c r="D13" s="44" t="s">
        <v>44</v>
      </c>
      <c r="E13" s="29">
        <v>12500</v>
      </c>
      <c r="F13" s="30">
        <v>15</v>
      </c>
      <c r="G13" s="29"/>
      <c r="H13" s="29"/>
      <c r="I13" s="29"/>
      <c r="J13" s="29"/>
      <c r="K13" s="29"/>
      <c r="L13" s="29"/>
      <c r="M13" s="29"/>
      <c r="N13" s="45"/>
      <c r="O13" s="46"/>
      <c r="P13" s="29">
        <f t="shared" ref="P13:P24" si="2">E13+-N13</f>
        <v>12500</v>
      </c>
      <c r="Q13" s="29">
        <v>0</v>
      </c>
      <c r="R13" s="29"/>
      <c r="S13" s="29">
        <v>1958.89</v>
      </c>
      <c r="T13" s="29">
        <v>0.01</v>
      </c>
      <c r="U13" s="32">
        <f>ROUND(E13*0.115,2)</f>
        <v>1437.5</v>
      </c>
      <c r="V13" s="29"/>
      <c r="W13" s="29">
        <f>SUM(S13:U13)+G13</f>
        <v>3396.4</v>
      </c>
      <c r="X13" s="33">
        <f>P13-W13</f>
        <v>9103.6</v>
      </c>
      <c r="Y13" s="34">
        <v>570.80999999999995</v>
      </c>
      <c r="Z13" s="29">
        <f>ROUND(+E13*17.5%,2)+ROUND(E13*3%,2)</f>
        <v>2562.5</v>
      </c>
      <c r="AA13" s="35">
        <f>ROUND(+E13*2%,2)</f>
        <v>250</v>
      </c>
      <c r="AB13" s="36">
        <f t="shared" si="1"/>
        <v>3383.31</v>
      </c>
    </row>
    <row r="14" spans="1:28" ht="21" x14ac:dyDescent="0.35">
      <c r="A14" s="27"/>
      <c r="B14" s="27" t="s">
        <v>42</v>
      </c>
      <c r="C14" s="28" t="s">
        <v>45</v>
      </c>
      <c r="D14" s="27" t="s">
        <v>46</v>
      </c>
      <c r="E14" s="29"/>
      <c r="F14" s="30"/>
      <c r="G14" s="29"/>
      <c r="H14" s="29"/>
      <c r="I14" s="29"/>
      <c r="J14" s="29"/>
      <c r="K14" s="29"/>
      <c r="L14" s="29"/>
      <c r="M14" s="29"/>
      <c r="N14" s="45"/>
      <c r="O14" s="46"/>
      <c r="P14" s="29">
        <f t="shared" si="2"/>
        <v>0</v>
      </c>
      <c r="Q14" s="29"/>
      <c r="R14" s="29"/>
      <c r="S14" s="29"/>
      <c r="T14" s="29"/>
      <c r="U14" s="29"/>
      <c r="V14" s="29"/>
      <c r="W14" s="29"/>
      <c r="X14" s="47"/>
      <c r="Y14" s="34"/>
      <c r="Z14" s="29"/>
      <c r="AA14" s="48"/>
      <c r="AB14" s="36">
        <f t="shared" si="1"/>
        <v>0</v>
      </c>
    </row>
    <row r="15" spans="1:28" ht="21" x14ac:dyDescent="0.35">
      <c r="A15" s="27"/>
      <c r="B15" s="27" t="s">
        <v>47</v>
      </c>
      <c r="C15" s="28" t="s">
        <v>48</v>
      </c>
      <c r="D15" s="37" t="s">
        <v>49</v>
      </c>
      <c r="E15" s="29">
        <v>9525</v>
      </c>
      <c r="F15" s="30">
        <v>15</v>
      </c>
      <c r="G15" s="31">
        <v>2000</v>
      </c>
      <c r="H15" s="29"/>
      <c r="I15" s="29"/>
      <c r="J15" s="29"/>
      <c r="K15" s="29"/>
      <c r="L15" s="29"/>
      <c r="M15" s="29"/>
      <c r="N15" s="45">
        <v>19.649999999999999</v>
      </c>
      <c r="O15" s="46"/>
      <c r="P15" s="29">
        <f t="shared" si="2"/>
        <v>9505.35</v>
      </c>
      <c r="Q15" s="29">
        <v>0</v>
      </c>
      <c r="R15" s="29"/>
      <c r="S15" s="29">
        <v>1323.44</v>
      </c>
      <c r="T15" s="29">
        <v>-7.0000000000000007E-2</v>
      </c>
      <c r="U15" s="32">
        <f t="shared" ref="U15:U24" si="3">ROUND(E15*0.115,2)</f>
        <v>1095.3800000000001</v>
      </c>
      <c r="V15" s="29"/>
      <c r="W15" s="29">
        <f t="shared" ref="W15:W22" si="4">SUM(S15:U15)+G15</f>
        <v>4418.75</v>
      </c>
      <c r="X15" s="33">
        <f t="shared" ref="X15:X24" si="5">P15-W15</f>
        <v>5086.6000000000004</v>
      </c>
      <c r="Y15" s="34">
        <v>489.57</v>
      </c>
      <c r="Z15" s="29">
        <f t="shared" ref="Z15:Z24" si="6">ROUND(+E15*17.5%,2)+ROUND(E15*3%,2)</f>
        <v>1952.63</v>
      </c>
      <c r="AA15" s="35">
        <f t="shared" ref="AA15:AA24" si="7">ROUND(+E15*2%,2)</f>
        <v>190.5</v>
      </c>
      <c r="AB15" s="36">
        <f t="shared" si="1"/>
        <v>2632.7000000000003</v>
      </c>
    </row>
    <row r="16" spans="1:28" ht="21" x14ac:dyDescent="0.35">
      <c r="A16" s="1"/>
      <c r="B16" s="1" t="s">
        <v>50</v>
      </c>
      <c r="C16" s="2" t="s">
        <v>51</v>
      </c>
      <c r="D16" s="1" t="s">
        <v>52</v>
      </c>
      <c r="E16" s="3"/>
      <c r="F16" s="77"/>
      <c r="G16" s="31"/>
      <c r="H16" s="3"/>
      <c r="I16" s="3"/>
      <c r="J16" s="3"/>
      <c r="K16" s="3"/>
      <c r="L16" s="3"/>
      <c r="M16" s="3"/>
      <c r="N16" s="49"/>
      <c r="O16" s="3"/>
      <c r="P16" s="29">
        <f t="shared" si="2"/>
        <v>0</v>
      </c>
      <c r="Q16" s="3">
        <v>0</v>
      </c>
      <c r="R16" s="3"/>
      <c r="S16" s="3"/>
      <c r="T16" s="3"/>
      <c r="U16" s="32">
        <f t="shared" si="3"/>
        <v>0</v>
      </c>
      <c r="V16" s="29"/>
      <c r="W16" s="3">
        <f t="shared" si="4"/>
        <v>0</v>
      </c>
      <c r="X16" s="33">
        <f t="shared" si="5"/>
        <v>0</v>
      </c>
      <c r="Y16" s="50">
        <v>385.6</v>
      </c>
      <c r="Z16" s="3">
        <f t="shared" si="6"/>
        <v>0</v>
      </c>
      <c r="AA16" s="35">
        <f t="shared" si="7"/>
        <v>0</v>
      </c>
      <c r="AB16" s="36">
        <f t="shared" si="1"/>
        <v>385.6</v>
      </c>
    </row>
    <row r="17" spans="1:28" ht="21" x14ac:dyDescent="0.35">
      <c r="A17" s="1"/>
      <c r="B17" t="s">
        <v>53</v>
      </c>
      <c r="C17" s="2" t="s">
        <v>54</v>
      </c>
      <c r="D17" t="s">
        <v>55</v>
      </c>
      <c r="E17" s="3">
        <v>5717.23</v>
      </c>
      <c r="F17" s="77">
        <v>15</v>
      </c>
      <c r="G17" s="31">
        <v>442.21</v>
      </c>
      <c r="H17" s="3"/>
      <c r="I17" s="3"/>
      <c r="J17" s="3"/>
      <c r="K17" s="3"/>
      <c r="L17" s="3"/>
      <c r="M17" s="3"/>
      <c r="N17" s="51"/>
      <c r="O17" s="3"/>
      <c r="P17" s="29">
        <f t="shared" si="2"/>
        <v>5717.23</v>
      </c>
      <c r="Q17" s="3"/>
      <c r="R17" s="3"/>
      <c r="S17" s="3">
        <v>540.55999999999995</v>
      </c>
      <c r="T17" s="3">
        <v>-0.02</v>
      </c>
      <c r="U17" s="32">
        <f t="shared" si="3"/>
        <v>657.48</v>
      </c>
      <c r="V17" s="29"/>
      <c r="W17" s="3">
        <f t="shared" si="4"/>
        <v>1640.23</v>
      </c>
      <c r="X17" s="33">
        <f t="shared" si="5"/>
        <v>4076.9999999999995</v>
      </c>
      <c r="Y17" s="50">
        <v>385.6</v>
      </c>
      <c r="Z17" s="3">
        <f t="shared" si="6"/>
        <v>1172.04</v>
      </c>
      <c r="AA17" s="35">
        <f t="shared" si="7"/>
        <v>114.34</v>
      </c>
      <c r="AB17" s="36">
        <f t="shared" si="1"/>
        <v>1671.9799999999998</v>
      </c>
    </row>
    <row r="18" spans="1:28" ht="21" x14ac:dyDescent="0.35">
      <c r="A18" s="1"/>
      <c r="B18" s="1" t="s">
        <v>56</v>
      </c>
      <c r="C18" s="2" t="s">
        <v>57</v>
      </c>
      <c r="D18" s="1" t="s">
        <v>58</v>
      </c>
      <c r="E18" s="3">
        <v>5169.53</v>
      </c>
      <c r="F18" s="77">
        <v>15</v>
      </c>
      <c r="G18" s="31">
        <v>2585</v>
      </c>
      <c r="H18" s="3"/>
      <c r="I18" s="3"/>
      <c r="J18" s="3"/>
      <c r="K18" s="3"/>
      <c r="L18" s="3"/>
      <c r="M18" s="3"/>
      <c r="N18" s="51"/>
      <c r="O18" s="3"/>
      <c r="P18" s="29">
        <f t="shared" si="2"/>
        <v>5169.53</v>
      </c>
      <c r="Q18" s="3"/>
      <c r="R18" s="3"/>
      <c r="S18" s="3">
        <v>449.05</v>
      </c>
      <c r="T18" s="3">
        <v>-0.02</v>
      </c>
      <c r="U18" s="32">
        <f t="shared" si="3"/>
        <v>594.5</v>
      </c>
      <c r="V18" s="29"/>
      <c r="W18" s="3">
        <f t="shared" si="4"/>
        <v>3628.5299999999997</v>
      </c>
      <c r="X18" s="33">
        <f t="shared" si="5"/>
        <v>1541</v>
      </c>
      <c r="Y18" s="50">
        <v>370.64</v>
      </c>
      <c r="Z18" s="3">
        <f t="shared" si="6"/>
        <v>1059.76</v>
      </c>
      <c r="AA18" s="35">
        <f t="shared" si="7"/>
        <v>103.39</v>
      </c>
      <c r="AB18" s="36">
        <f t="shared" si="1"/>
        <v>1533.7900000000002</v>
      </c>
    </row>
    <row r="19" spans="1:28" ht="21" x14ac:dyDescent="0.35">
      <c r="A19" s="1"/>
      <c r="B19" s="1" t="s">
        <v>59</v>
      </c>
      <c r="C19" s="2" t="s">
        <v>60</v>
      </c>
      <c r="D19" s="1" t="s">
        <v>61</v>
      </c>
      <c r="E19" s="3">
        <v>5717.23</v>
      </c>
      <c r="F19" s="77">
        <v>15</v>
      </c>
      <c r="G19" s="31">
        <v>1699.53</v>
      </c>
      <c r="H19" s="51"/>
      <c r="I19" s="51"/>
      <c r="J19" s="51"/>
      <c r="K19" s="51"/>
      <c r="L19" s="51"/>
      <c r="M19" s="51"/>
      <c r="N19" s="49"/>
      <c r="O19" s="3"/>
      <c r="P19" s="29">
        <f t="shared" si="2"/>
        <v>5717.23</v>
      </c>
      <c r="Q19" s="3"/>
      <c r="R19" s="3"/>
      <c r="S19" s="3">
        <v>540.55999999999995</v>
      </c>
      <c r="T19" s="3">
        <v>0.06</v>
      </c>
      <c r="U19" s="32">
        <f t="shared" si="3"/>
        <v>657.48</v>
      </c>
      <c r="V19" s="29"/>
      <c r="W19" s="3">
        <f t="shared" si="4"/>
        <v>2897.63</v>
      </c>
      <c r="X19" s="33">
        <f t="shared" si="5"/>
        <v>2819.5999999999995</v>
      </c>
      <c r="Y19" s="50">
        <v>385.6</v>
      </c>
      <c r="Z19" s="3">
        <f t="shared" si="6"/>
        <v>1172.04</v>
      </c>
      <c r="AA19" s="35">
        <f t="shared" si="7"/>
        <v>114.34</v>
      </c>
      <c r="AB19" s="36">
        <f t="shared" si="1"/>
        <v>1671.9799999999998</v>
      </c>
    </row>
    <row r="20" spans="1:28" ht="21" x14ac:dyDescent="0.35">
      <c r="A20" s="1"/>
      <c r="B20" t="s">
        <v>62</v>
      </c>
      <c r="C20" s="2" t="s">
        <v>63</v>
      </c>
      <c r="D20" t="s">
        <v>58</v>
      </c>
      <c r="E20" s="3">
        <v>5169.53</v>
      </c>
      <c r="F20" s="77">
        <v>15</v>
      </c>
      <c r="G20" s="31">
        <v>1231</v>
      </c>
      <c r="H20" s="3"/>
      <c r="I20" s="3"/>
      <c r="J20" s="3"/>
      <c r="K20" s="3"/>
      <c r="L20" s="3"/>
      <c r="M20" s="3"/>
      <c r="N20" s="51">
        <v>4.92</v>
      </c>
      <c r="O20" s="3"/>
      <c r="P20" s="29">
        <f t="shared" si="2"/>
        <v>5164.6099999999997</v>
      </c>
      <c r="Q20" s="3"/>
      <c r="R20" s="3"/>
      <c r="S20" s="3">
        <v>449.05</v>
      </c>
      <c r="T20" s="3">
        <v>0.06</v>
      </c>
      <c r="U20" s="32">
        <f t="shared" si="3"/>
        <v>594.5</v>
      </c>
      <c r="V20" s="29"/>
      <c r="W20" s="3">
        <f t="shared" si="4"/>
        <v>2274.61</v>
      </c>
      <c r="X20" s="33">
        <f t="shared" si="5"/>
        <v>2889.9999999999995</v>
      </c>
      <c r="Y20" s="50">
        <v>370.64</v>
      </c>
      <c r="Z20" s="3">
        <f t="shared" si="6"/>
        <v>1059.76</v>
      </c>
      <c r="AA20" s="35">
        <f t="shared" si="7"/>
        <v>103.39</v>
      </c>
      <c r="AB20" s="36">
        <f t="shared" si="1"/>
        <v>1533.7900000000002</v>
      </c>
    </row>
    <row r="21" spans="1:28" ht="21" x14ac:dyDescent="0.35">
      <c r="A21" s="27"/>
      <c r="B21" s="52" t="s">
        <v>64</v>
      </c>
      <c r="C21" s="28" t="s">
        <v>65</v>
      </c>
      <c r="D21" s="52" t="s">
        <v>66</v>
      </c>
      <c r="E21" s="29">
        <v>5528.8</v>
      </c>
      <c r="F21" s="30">
        <v>15</v>
      </c>
      <c r="G21" s="29"/>
      <c r="H21" s="38"/>
      <c r="I21" s="38"/>
      <c r="J21" s="38"/>
      <c r="K21" s="38"/>
      <c r="L21" s="38"/>
      <c r="M21" s="38"/>
      <c r="N21" s="45"/>
      <c r="O21" s="29"/>
      <c r="P21" s="29">
        <f t="shared" si="2"/>
        <v>5528.8</v>
      </c>
      <c r="Q21" s="29"/>
      <c r="R21" s="29"/>
      <c r="S21" s="29">
        <v>506.8</v>
      </c>
      <c r="T21" s="29">
        <v>-0.01</v>
      </c>
      <c r="U21" s="32">
        <f t="shared" si="3"/>
        <v>635.80999999999995</v>
      </c>
      <c r="V21" s="29"/>
      <c r="W21" s="3">
        <f t="shared" si="4"/>
        <v>1142.5999999999999</v>
      </c>
      <c r="X21" s="47">
        <f t="shared" si="5"/>
        <v>4386.2000000000007</v>
      </c>
      <c r="Y21" s="34">
        <v>380.46</v>
      </c>
      <c r="Z21" s="3">
        <f t="shared" si="6"/>
        <v>1133.4000000000001</v>
      </c>
      <c r="AA21" s="35">
        <f t="shared" si="7"/>
        <v>110.58</v>
      </c>
      <c r="AB21" s="36">
        <f t="shared" si="1"/>
        <v>1624.44</v>
      </c>
    </row>
    <row r="22" spans="1:28" ht="21" x14ac:dyDescent="0.35">
      <c r="A22" s="1"/>
      <c r="B22" s="52" t="s">
        <v>67</v>
      </c>
      <c r="C22" s="2" t="s">
        <v>68</v>
      </c>
      <c r="D22" t="s">
        <v>69</v>
      </c>
      <c r="E22" s="3">
        <v>6955</v>
      </c>
      <c r="F22" s="77">
        <v>15</v>
      </c>
      <c r="G22" s="29"/>
      <c r="H22" s="3"/>
      <c r="I22" s="3"/>
      <c r="J22" s="3"/>
      <c r="K22" s="3"/>
      <c r="L22" s="3"/>
      <c r="M22" s="3"/>
      <c r="N22" s="51">
        <v>2.21</v>
      </c>
      <c r="O22" s="3"/>
      <c r="P22" s="29">
        <f t="shared" si="2"/>
        <v>6952.79</v>
      </c>
      <c r="Q22" s="3"/>
      <c r="R22" s="3"/>
      <c r="S22" s="29">
        <v>774.5</v>
      </c>
      <c r="T22" s="3">
        <v>0.06</v>
      </c>
      <c r="U22" s="32">
        <f t="shared" si="3"/>
        <v>799.83</v>
      </c>
      <c r="V22" s="29"/>
      <c r="W22" s="3">
        <f t="shared" si="4"/>
        <v>1574.3899999999999</v>
      </c>
      <c r="X22" s="33">
        <f t="shared" si="5"/>
        <v>5378.4</v>
      </c>
      <c r="Y22" s="50">
        <v>419.4</v>
      </c>
      <c r="Z22" s="3">
        <f t="shared" si="6"/>
        <v>1425.7800000000002</v>
      </c>
      <c r="AA22" s="35">
        <f t="shared" si="7"/>
        <v>139.1</v>
      </c>
      <c r="AB22" s="36">
        <f t="shared" si="1"/>
        <v>1984.2800000000002</v>
      </c>
    </row>
    <row r="23" spans="1:28" ht="21" x14ac:dyDescent="0.35">
      <c r="A23" s="1"/>
      <c r="B23" s="44" t="s">
        <v>70</v>
      </c>
      <c r="C23" s="2" t="s">
        <v>71</v>
      </c>
      <c r="D23" s="44" t="s">
        <v>72</v>
      </c>
      <c r="E23" s="3">
        <v>8214.2800000000007</v>
      </c>
      <c r="F23" s="77">
        <v>15</v>
      </c>
      <c r="G23" s="3"/>
      <c r="H23" s="3"/>
      <c r="I23" s="3"/>
      <c r="J23" s="3"/>
      <c r="K23" s="3"/>
      <c r="L23" s="3"/>
      <c r="M23" s="3"/>
      <c r="N23" s="49"/>
      <c r="O23" s="3"/>
      <c r="P23" s="29">
        <f t="shared" si="2"/>
        <v>8214.2800000000007</v>
      </c>
      <c r="Q23" s="3">
        <v>0</v>
      </c>
      <c r="R23" s="3"/>
      <c r="S23" s="3">
        <v>1043.47</v>
      </c>
      <c r="T23" s="3">
        <v>-0.03</v>
      </c>
      <c r="U23" s="32">
        <f t="shared" si="3"/>
        <v>944.64</v>
      </c>
      <c r="V23" s="29"/>
      <c r="W23" s="3">
        <f>SUM(S23:V23)+G23</f>
        <v>1988.08</v>
      </c>
      <c r="X23" s="33">
        <f t="shared" si="5"/>
        <v>6226.2000000000007</v>
      </c>
      <c r="Y23" s="50">
        <v>453.79</v>
      </c>
      <c r="Z23" s="3">
        <f t="shared" si="6"/>
        <v>1683.93</v>
      </c>
      <c r="AA23" s="35">
        <f t="shared" si="7"/>
        <v>164.29</v>
      </c>
      <c r="AB23" s="36">
        <f t="shared" si="1"/>
        <v>2302.0100000000002</v>
      </c>
    </row>
    <row r="24" spans="1:28" ht="21" x14ac:dyDescent="0.35">
      <c r="A24" s="1"/>
      <c r="B24" s="44" t="s">
        <v>73</v>
      </c>
      <c r="C24" s="2" t="s">
        <v>74</v>
      </c>
      <c r="D24" s="44" t="s">
        <v>69</v>
      </c>
      <c r="E24" s="3">
        <v>5500</v>
      </c>
      <c r="F24" s="77">
        <v>15</v>
      </c>
      <c r="G24" s="3"/>
      <c r="H24" s="3"/>
      <c r="I24" s="3"/>
      <c r="J24" s="3"/>
      <c r="K24" s="3"/>
      <c r="L24" s="3"/>
      <c r="M24" s="3"/>
      <c r="N24" s="49"/>
      <c r="O24" s="3"/>
      <c r="P24" s="29">
        <f t="shared" si="2"/>
        <v>5500</v>
      </c>
      <c r="Q24" s="3">
        <v>0</v>
      </c>
      <c r="R24" s="3"/>
      <c r="S24" s="3">
        <v>501.93</v>
      </c>
      <c r="T24" s="3">
        <v>-0.03</v>
      </c>
      <c r="U24" s="32">
        <f t="shared" si="3"/>
        <v>632.5</v>
      </c>
      <c r="V24" s="29"/>
      <c r="W24" s="3">
        <f>SUM(S24:U24)+G24</f>
        <v>1134.4000000000001</v>
      </c>
      <c r="X24" s="33">
        <f t="shared" si="5"/>
        <v>4365.6000000000004</v>
      </c>
      <c r="Y24" s="50">
        <v>379.67</v>
      </c>
      <c r="Z24" s="3">
        <f t="shared" si="6"/>
        <v>1127.5</v>
      </c>
      <c r="AA24" s="35">
        <f t="shared" si="7"/>
        <v>110</v>
      </c>
      <c r="AB24" s="36">
        <f t="shared" si="1"/>
        <v>1617.17</v>
      </c>
    </row>
    <row r="25" spans="1:28" ht="18.75" x14ac:dyDescent="0.3">
      <c r="A25" s="1"/>
      <c r="B25" s="23" t="s">
        <v>36</v>
      </c>
      <c r="C25" s="40"/>
      <c r="D25" s="41"/>
      <c r="E25" s="42">
        <f>SUM(E12:E24)</f>
        <v>84246.599999999991</v>
      </c>
      <c r="F25" s="42"/>
      <c r="G25" s="42">
        <f>SUM(G12:G24)</f>
        <v>10815.74</v>
      </c>
      <c r="H25" s="42" t="e">
        <f>+#REF!+H18+H16+H12+H14+H15+H19</f>
        <v>#REF!</v>
      </c>
      <c r="I25" s="42"/>
      <c r="J25" s="42"/>
      <c r="K25" s="42"/>
      <c r="L25" s="42"/>
      <c r="M25" s="42"/>
      <c r="N25" s="42">
        <f>SUM(N12:N24)</f>
        <v>26.78</v>
      </c>
      <c r="O25" s="42">
        <f>SUM(O12:O22)</f>
        <v>0</v>
      </c>
      <c r="P25" s="42">
        <f t="shared" ref="P25:AB25" si="8">SUM(P12:P24)</f>
        <v>84219.819999999992</v>
      </c>
      <c r="Q25" s="42">
        <f t="shared" si="8"/>
        <v>0</v>
      </c>
      <c r="R25" s="42">
        <f t="shared" si="8"/>
        <v>0</v>
      </c>
      <c r="S25" s="42">
        <f t="shared" si="8"/>
        <v>10441.11</v>
      </c>
      <c r="T25" s="42">
        <f t="shared" si="8"/>
        <v>0</v>
      </c>
      <c r="U25" s="42">
        <f t="shared" si="8"/>
        <v>9688.369999999999</v>
      </c>
      <c r="V25" s="42">
        <f t="shared" si="8"/>
        <v>0</v>
      </c>
      <c r="W25" s="42">
        <f t="shared" si="8"/>
        <v>30945.22</v>
      </c>
      <c r="X25" s="42">
        <f t="shared" si="8"/>
        <v>53274.6</v>
      </c>
      <c r="Y25" s="42">
        <f t="shared" si="8"/>
        <v>5210.37</v>
      </c>
      <c r="Z25" s="42">
        <f t="shared" si="8"/>
        <v>17270.590000000004</v>
      </c>
      <c r="AA25" s="42">
        <f t="shared" si="8"/>
        <v>1684.9299999999998</v>
      </c>
      <c r="AB25" s="42">
        <f t="shared" si="8"/>
        <v>24165.89</v>
      </c>
    </row>
    <row r="26" spans="1:28" ht="18.75" x14ac:dyDescent="0.3">
      <c r="A26" s="1"/>
      <c r="B26" s="23"/>
      <c r="C26" s="2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3"/>
      <c r="Y26" s="1"/>
      <c r="Z26" s="1"/>
      <c r="AA26" s="1"/>
      <c r="AB26" s="1"/>
    </row>
    <row r="27" spans="1:28" ht="18.75" x14ac:dyDescent="0.3">
      <c r="A27" s="1"/>
      <c r="B27" s="23" t="s">
        <v>75</v>
      </c>
      <c r="C27" s="40" t="s">
        <v>76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3"/>
      <c r="Y27" s="1"/>
      <c r="Z27" s="1"/>
      <c r="AA27" s="1"/>
      <c r="AB27" s="1"/>
    </row>
    <row r="28" spans="1:28" ht="21" x14ac:dyDescent="0.35">
      <c r="A28" s="1"/>
      <c r="B28" s="1" t="s">
        <v>77</v>
      </c>
      <c r="C28" s="2" t="s">
        <v>78</v>
      </c>
      <c r="D28" t="s">
        <v>79</v>
      </c>
      <c r="E28" s="3">
        <v>8007.06</v>
      </c>
      <c r="F28" s="77">
        <v>15</v>
      </c>
      <c r="G28" s="3"/>
      <c r="H28" s="3"/>
      <c r="I28" s="3"/>
      <c r="J28" s="3"/>
      <c r="K28" s="3"/>
      <c r="L28" s="3"/>
      <c r="M28" s="3"/>
      <c r="N28" s="51"/>
      <c r="O28" s="3"/>
      <c r="P28" s="3">
        <f>E28+-N28</f>
        <v>8007.06</v>
      </c>
      <c r="Q28" s="3">
        <v>0</v>
      </c>
      <c r="R28" s="3"/>
      <c r="S28" s="3">
        <v>999.19</v>
      </c>
      <c r="T28" s="3">
        <v>0.06</v>
      </c>
      <c r="U28" s="32">
        <f>ROUND(E28*0.115,2)</f>
        <v>920.81</v>
      </c>
      <c r="V28" s="29"/>
      <c r="W28" s="3">
        <f>SUM(S28:U28)+G28</f>
        <v>1920.06</v>
      </c>
      <c r="X28" s="33">
        <f>P28-W28</f>
        <v>6087</v>
      </c>
      <c r="Y28" s="53">
        <v>448.13</v>
      </c>
      <c r="Z28" s="3">
        <f>ROUND(+E28*17.5%,2)+ROUND(E28*3%,2)</f>
        <v>1641.45</v>
      </c>
      <c r="AA28" s="35">
        <f>ROUND(+E28*2%,2)</f>
        <v>160.13999999999999</v>
      </c>
      <c r="AB28" s="54">
        <f>SUM(Y28:AA28)</f>
        <v>2249.7199999999998</v>
      </c>
    </row>
    <row r="29" spans="1:28" ht="21" x14ac:dyDescent="0.35">
      <c r="A29" s="1"/>
      <c r="B29" s="1" t="s">
        <v>80</v>
      </c>
      <c r="C29" s="2" t="s">
        <v>81</v>
      </c>
      <c r="D29" t="s">
        <v>82</v>
      </c>
      <c r="E29" s="3">
        <v>8007.06</v>
      </c>
      <c r="F29" s="77">
        <v>15</v>
      </c>
      <c r="G29" s="3"/>
      <c r="H29" s="3"/>
      <c r="I29" s="3"/>
      <c r="J29" s="3"/>
      <c r="K29" s="3"/>
      <c r="L29" s="3"/>
      <c r="M29" s="3"/>
      <c r="N29" s="49"/>
      <c r="O29" s="3"/>
      <c r="P29" s="3">
        <f t="shared" ref="P29:P31" si="9">E29+-N29</f>
        <v>8007.06</v>
      </c>
      <c r="Q29" s="3">
        <v>0</v>
      </c>
      <c r="R29" s="3"/>
      <c r="S29" s="3">
        <v>999.19</v>
      </c>
      <c r="T29" s="3">
        <v>0.06</v>
      </c>
      <c r="U29" s="32">
        <f>ROUND(E29*0.115,2)</f>
        <v>920.81</v>
      </c>
      <c r="V29" s="29"/>
      <c r="W29" s="3">
        <f>SUM(S29:U29)+G29</f>
        <v>1920.06</v>
      </c>
      <c r="X29" s="33">
        <f>P29-W29</f>
        <v>6087</v>
      </c>
      <c r="Y29" s="53">
        <v>448.13</v>
      </c>
      <c r="Z29" s="3">
        <f>ROUND(+E29*17.5%,2)+ROUND(E29*3%,2)</f>
        <v>1641.45</v>
      </c>
      <c r="AA29" s="35">
        <f>ROUND(+E29*2%,2)</f>
        <v>160.13999999999999</v>
      </c>
      <c r="AB29" s="54">
        <f>SUM(Y29:AA29)</f>
        <v>2249.7199999999998</v>
      </c>
    </row>
    <row r="30" spans="1:28" ht="21" x14ac:dyDescent="0.35">
      <c r="A30" s="1"/>
      <c r="B30" s="1" t="s">
        <v>83</v>
      </c>
      <c r="C30" s="2" t="s">
        <v>84</v>
      </c>
      <c r="D30" s="44" t="s">
        <v>85</v>
      </c>
      <c r="E30" s="3">
        <v>8007.06</v>
      </c>
      <c r="F30" s="77">
        <v>15</v>
      </c>
      <c r="G30" s="31">
        <v>3336</v>
      </c>
      <c r="H30" s="3"/>
      <c r="I30" s="3"/>
      <c r="J30" s="3"/>
      <c r="K30" s="3"/>
      <c r="L30" s="3"/>
      <c r="M30" s="3"/>
      <c r="N30" s="51"/>
      <c r="O30" s="3"/>
      <c r="P30" s="3">
        <f t="shared" si="9"/>
        <v>8007.06</v>
      </c>
      <c r="Q30" s="3">
        <v>0</v>
      </c>
      <c r="R30" s="3"/>
      <c r="S30" s="3">
        <v>999.19</v>
      </c>
      <c r="T30" s="3">
        <v>0.06</v>
      </c>
      <c r="U30" s="32">
        <f>ROUND(E30*0.115,2)</f>
        <v>920.81</v>
      </c>
      <c r="V30" s="29"/>
      <c r="W30" s="3">
        <f>SUM(S30:U30)+G30</f>
        <v>5256.0599999999995</v>
      </c>
      <c r="X30" s="33">
        <f>P30-W30</f>
        <v>2751.0000000000009</v>
      </c>
      <c r="Y30" s="53">
        <v>448.13</v>
      </c>
      <c r="Z30" s="3">
        <f>ROUND(+E30*17.5%,2)+ROUND(E30*3%,2)</f>
        <v>1641.45</v>
      </c>
      <c r="AA30" s="35">
        <f>ROUND(+E30*2%,2)</f>
        <v>160.13999999999999</v>
      </c>
      <c r="AB30" s="54">
        <f>SUM(Y30:AA30)</f>
        <v>2249.7199999999998</v>
      </c>
    </row>
    <row r="31" spans="1:28" ht="21" x14ac:dyDescent="0.35">
      <c r="A31" s="1"/>
      <c r="B31" s="44" t="s">
        <v>86</v>
      </c>
      <c r="C31" s="2" t="s">
        <v>87</v>
      </c>
      <c r="D31" t="s">
        <v>82</v>
      </c>
      <c r="E31" s="3">
        <v>8007.06</v>
      </c>
      <c r="F31" s="77">
        <v>15</v>
      </c>
      <c r="G31" s="31">
        <v>1191</v>
      </c>
      <c r="H31" s="51"/>
      <c r="I31" s="51"/>
      <c r="J31" s="51"/>
      <c r="K31" s="51"/>
      <c r="L31" s="51"/>
      <c r="M31" s="51"/>
      <c r="N31" s="51"/>
      <c r="O31" s="3"/>
      <c r="P31" s="3">
        <f t="shared" si="9"/>
        <v>8007.06</v>
      </c>
      <c r="Q31" s="3"/>
      <c r="R31" s="3"/>
      <c r="S31" s="3">
        <v>999.19</v>
      </c>
      <c r="T31" s="3">
        <v>0.06</v>
      </c>
      <c r="U31" s="32">
        <f>ROUND(E31*0.115,2)</f>
        <v>920.81</v>
      </c>
      <c r="V31" s="29"/>
      <c r="W31" s="3">
        <f>SUM(S31:U31)+G31</f>
        <v>3111.06</v>
      </c>
      <c r="X31" s="33">
        <f>P31-W31</f>
        <v>4896</v>
      </c>
      <c r="Y31" s="53">
        <v>448.13</v>
      </c>
      <c r="Z31" s="3">
        <f>ROUND(+E31*17.5%,2)+ROUND(E31*3%,2)</f>
        <v>1641.45</v>
      </c>
      <c r="AA31" s="35">
        <f>ROUND(+E31*2%,2)</f>
        <v>160.13999999999999</v>
      </c>
      <c r="AB31" s="54">
        <f>SUM(Y31:AA31)</f>
        <v>2249.7199999999998</v>
      </c>
    </row>
    <row r="32" spans="1:28" ht="18.75" x14ac:dyDescent="0.3">
      <c r="A32" s="1"/>
      <c r="B32" s="23" t="s">
        <v>36</v>
      </c>
      <c r="C32" s="40"/>
      <c r="D32" s="41"/>
      <c r="E32" s="42">
        <f>SUM(E28:E31)</f>
        <v>32028.240000000002</v>
      </c>
      <c r="F32" s="42"/>
      <c r="G32" s="42">
        <f>+G31+G30+G28+G29</f>
        <v>4527</v>
      </c>
      <c r="H32" s="42"/>
      <c r="I32" s="42"/>
      <c r="J32" s="42"/>
      <c r="K32" s="42"/>
      <c r="L32" s="42"/>
      <c r="M32" s="42"/>
      <c r="N32" s="42">
        <f>SUM(N28:N31)</f>
        <v>0</v>
      </c>
      <c r="O32" s="42">
        <f>SUM(O28:O31)</f>
        <v>0</v>
      </c>
      <c r="P32" s="42">
        <f>SUM(P28:P31)</f>
        <v>32028.240000000002</v>
      </c>
      <c r="Q32" s="42">
        <f>SUM(Q28:Q30)</f>
        <v>0</v>
      </c>
      <c r="R32" s="42">
        <f>SUM(R28:R30)</f>
        <v>0</v>
      </c>
      <c r="S32" s="42">
        <f>SUM(S28:S31)</f>
        <v>3996.76</v>
      </c>
      <c r="T32" s="42">
        <f>SUM(T28:T31)</f>
        <v>0.24</v>
      </c>
      <c r="U32" s="42">
        <f>SUM(U28:U31)</f>
        <v>3683.24</v>
      </c>
      <c r="V32" s="42"/>
      <c r="W32" s="42">
        <f t="shared" ref="W32:AB32" si="10">SUM(W28:W31)</f>
        <v>12207.24</v>
      </c>
      <c r="X32" s="42">
        <f t="shared" si="10"/>
        <v>19821</v>
      </c>
      <c r="Y32" s="42">
        <f t="shared" si="10"/>
        <v>1792.52</v>
      </c>
      <c r="Z32" s="42">
        <f t="shared" si="10"/>
        <v>6565.8</v>
      </c>
      <c r="AA32" s="42">
        <f t="shared" si="10"/>
        <v>640.55999999999995</v>
      </c>
      <c r="AB32" s="42">
        <f t="shared" si="10"/>
        <v>8998.8799999999992</v>
      </c>
    </row>
    <row r="33" spans="1:28" ht="18.75" x14ac:dyDescent="0.3">
      <c r="A33" s="1"/>
      <c r="B33" s="1"/>
      <c r="C33" s="2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3"/>
      <c r="Y33" s="1"/>
      <c r="Z33" s="1"/>
      <c r="AA33" s="1"/>
      <c r="AB33" s="1"/>
    </row>
    <row r="34" spans="1:28" ht="18.75" x14ac:dyDescent="0.3">
      <c r="A34" s="1"/>
      <c r="B34" s="23" t="s">
        <v>88</v>
      </c>
      <c r="C34" s="40" t="s">
        <v>89</v>
      </c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3"/>
      <c r="Y34" s="1"/>
      <c r="Z34" s="1"/>
      <c r="AA34" s="1"/>
      <c r="AB34" s="1"/>
    </row>
    <row r="35" spans="1:28" ht="21" x14ac:dyDescent="0.35">
      <c r="A35" s="1"/>
      <c r="B35" s="1" t="s">
        <v>90</v>
      </c>
      <c r="C35" s="2"/>
      <c r="D35" t="s">
        <v>91</v>
      </c>
      <c r="E35" s="3"/>
      <c r="F35" s="77"/>
      <c r="G35" s="3"/>
      <c r="H35" s="3"/>
      <c r="I35" s="3"/>
      <c r="J35" s="3"/>
      <c r="K35" s="3"/>
      <c r="L35" s="3"/>
      <c r="M35" s="3"/>
      <c r="N35" s="51"/>
      <c r="O35" s="3"/>
      <c r="P35" s="3"/>
      <c r="Q35" s="3"/>
      <c r="R35" s="3"/>
      <c r="S35" s="3"/>
      <c r="T35" s="3"/>
      <c r="U35" s="55"/>
      <c r="V35" s="55"/>
      <c r="W35" s="3"/>
      <c r="X35" s="56"/>
      <c r="Y35" s="53"/>
      <c r="Z35" s="53"/>
      <c r="AA35" s="35"/>
      <c r="AB35" s="54"/>
    </row>
    <row r="36" spans="1:28" ht="21" x14ac:dyDescent="0.35">
      <c r="A36" s="1"/>
      <c r="B36" t="s">
        <v>90</v>
      </c>
      <c r="C36" s="2" t="s">
        <v>92</v>
      </c>
      <c r="D36" t="s">
        <v>93</v>
      </c>
      <c r="E36" s="3">
        <v>8007.06</v>
      </c>
      <c r="F36" s="77">
        <v>15</v>
      </c>
      <c r="G36" s="31">
        <v>1345.12</v>
      </c>
      <c r="H36" s="3"/>
      <c r="I36" s="3"/>
      <c r="J36" s="3"/>
      <c r="K36" s="3"/>
      <c r="L36" s="3"/>
      <c r="M36" s="3"/>
      <c r="N36" s="51"/>
      <c r="O36" s="3"/>
      <c r="P36" s="3">
        <f>E36+-N36</f>
        <v>8007.06</v>
      </c>
      <c r="Q36" s="3"/>
      <c r="R36" s="3"/>
      <c r="S36" s="3">
        <v>999.19</v>
      </c>
      <c r="T36" s="3">
        <v>-0.06</v>
      </c>
      <c r="U36" s="55">
        <f t="shared" ref="U36:U44" si="11">ROUND(E36*0.115,2)</f>
        <v>920.81</v>
      </c>
      <c r="V36" s="29"/>
      <c r="W36" s="3">
        <f>SUM(S36:U36)+G36</f>
        <v>3265.06</v>
      </c>
      <c r="X36" s="33">
        <f t="shared" ref="X36:X52" si="12">P36-W36</f>
        <v>4742</v>
      </c>
      <c r="Y36" s="53">
        <v>448.13</v>
      </c>
      <c r="Z36" s="3">
        <f t="shared" ref="Z36:Z44" si="13">ROUND(+E36*17.5%,2)+ROUND(E36*3%,2)</f>
        <v>1641.45</v>
      </c>
      <c r="AA36" s="35">
        <f t="shared" ref="AA36:AA44" si="14">ROUND(+E36*2%,2)</f>
        <v>160.13999999999999</v>
      </c>
      <c r="AB36" s="54">
        <f t="shared" ref="AB36:AB52" si="15">SUM(Y36:AA36)</f>
        <v>2249.7199999999998</v>
      </c>
    </row>
    <row r="37" spans="1:28" ht="21" x14ac:dyDescent="0.35">
      <c r="A37" s="1"/>
      <c r="B37" s="44" t="s">
        <v>94</v>
      </c>
      <c r="C37" s="2" t="s">
        <v>95</v>
      </c>
      <c r="D37" t="s">
        <v>93</v>
      </c>
      <c r="E37" s="3">
        <v>8007.06</v>
      </c>
      <c r="F37" s="77">
        <v>15</v>
      </c>
      <c r="G37" s="29"/>
      <c r="H37" s="3"/>
      <c r="I37" s="3"/>
      <c r="J37" s="3"/>
      <c r="K37" s="3"/>
      <c r="L37" s="3"/>
      <c r="M37" s="3"/>
      <c r="N37" s="51"/>
      <c r="O37" s="3"/>
      <c r="P37" s="3">
        <f t="shared" ref="P37:P52" si="16">E37+-N37</f>
        <v>8007.06</v>
      </c>
      <c r="Q37" s="3"/>
      <c r="R37" s="3"/>
      <c r="S37" s="3">
        <v>999.19</v>
      </c>
      <c r="T37" s="3">
        <v>0.06</v>
      </c>
      <c r="U37" s="55">
        <f t="shared" si="11"/>
        <v>920.81</v>
      </c>
      <c r="V37" s="29"/>
      <c r="W37" s="3">
        <f>SUM(S37:U37)+G37</f>
        <v>1920.06</v>
      </c>
      <c r="X37" s="33">
        <f t="shared" si="12"/>
        <v>6087</v>
      </c>
      <c r="Y37" s="53">
        <v>448.13</v>
      </c>
      <c r="Z37" s="3">
        <f t="shared" si="13"/>
        <v>1641.45</v>
      </c>
      <c r="AA37" s="35">
        <f t="shared" si="14"/>
        <v>160.13999999999999</v>
      </c>
      <c r="AB37" s="54">
        <f t="shared" si="15"/>
        <v>2249.7199999999998</v>
      </c>
    </row>
    <row r="38" spans="1:28" ht="21" x14ac:dyDescent="0.35">
      <c r="A38" s="1"/>
      <c r="B38" s="44" t="s">
        <v>96</v>
      </c>
      <c r="C38" s="2" t="s">
        <v>97</v>
      </c>
      <c r="D38" s="1" t="s">
        <v>98</v>
      </c>
      <c r="E38" s="29">
        <v>8214.2800000000007</v>
      </c>
      <c r="F38" s="77">
        <v>15</v>
      </c>
      <c r="G38" s="31">
        <v>401.72</v>
      </c>
      <c r="H38" s="3"/>
      <c r="I38" s="3"/>
      <c r="J38" s="3"/>
      <c r="K38" s="3"/>
      <c r="L38" s="3"/>
      <c r="M38" s="3"/>
      <c r="N38" s="51">
        <v>2.61</v>
      </c>
      <c r="O38" s="3"/>
      <c r="P38" s="3">
        <f t="shared" si="16"/>
        <v>8211.67</v>
      </c>
      <c r="Q38" s="3">
        <v>0</v>
      </c>
      <c r="R38" s="3"/>
      <c r="S38" s="3">
        <v>1043.47</v>
      </c>
      <c r="T38" s="3">
        <v>0.04</v>
      </c>
      <c r="U38" s="55">
        <f t="shared" si="11"/>
        <v>944.64</v>
      </c>
      <c r="V38" s="29"/>
      <c r="W38" s="3">
        <f>SUM(S38:U38)+G38</f>
        <v>2389.87</v>
      </c>
      <c r="X38" s="33">
        <f t="shared" si="12"/>
        <v>5821.8</v>
      </c>
      <c r="Y38" s="53">
        <v>453.79</v>
      </c>
      <c r="Z38" s="3">
        <f t="shared" si="13"/>
        <v>1683.93</v>
      </c>
      <c r="AA38" s="35">
        <f t="shared" si="14"/>
        <v>164.29</v>
      </c>
      <c r="AB38" s="54">
        <f t="shared" si="15"/>
        <v>2302.0100000000002</v>
      </c>
    </row>
    <row r="39" spans="1:28" ht="21" x14ac:dyDescent="0.35">
      <c r="A39" s="1"/>
      <c r="B39" s="1" t="s">
        <v>99</v>
      </c>
      <c r="C39" s="2" t="s">
        <v>100</v>
      </c>
      <c r="D39" s="1" t="s">
        <v>101</v>
      </c>
      <c r="E39" s="3">
        <v>8007.06</v>
      </c>
      <c r="F39" s="77">
        <v>15</v>
      </c>
      <c r="G39" s="57"/>
      <c r="H39" s="3"/>
      <c r="I39" s="31">
        <v>2994.04</v>
      </c>
      <c r="J39" s="3"/>
      <c r="K39" s="3"/>
      <c r="L39" s="3"/>
      <c r="M39" s="3"/>
      <c r="N39" s="51"/>
      <c r="O39" s="3"/>
      <c r="P39" s="3">
        <f t="shared" si="16"/>
        <v>8007.06</v>
      </c>
      <c r="Q39" s="3">
        <v>0</v>
      </c>
      <c r="R39" s="3"/>
      <c r="S39" s="3">
        <v>999.19</v>
      </c>
      <c r="T39" s="3">
        <v>0.02</v>
      </c>
      <c r="U39" s="55">
        <f t="shared" si="11"/>
        <v>920.81</v>
      </c>
      <c r="V39" s="29"/>
      <c r="W39" s="3">
        <f>SUM(S39:U39)+G39+I39</f>
        <v>4914.0599999999995</v>
      </c>
      <c r="X39" s="33">
        <f t="shared" si="12"/>
        <v>3093.0000000000009</v>
      </c>
      <c r="Y39" s="53">
        <v>448.13</v>
      </c>
      <c r="Z39" s="3">
        <f t="shared" si="13"/>
        <v>1641.45</v>
      </c>
      <c r="AA39" s="35">
        <f t="shared" si="14"/>
        <v>160.13999999999999</v>
      </c>
      <c r="AB39" s="54">
        <f t="shared" si="15"/>
        <v>2249.7199999999998</v>
      </c>
    </row>
    <row r="40" spans="1:28" ht="21" x14ac:dyDescent="0.35">
      <c r="A40" s="1"/>
      <c r="B40" s="1" t="s">
        <v>102</v>
      </c>
      <c r="C40" s="2" t="s">
        <v>103</v>
      </c>
      <c r="D40" s="1" t="s">
        <v>104</v>
      </c>
      <c r="E40" s="3">
        <v>8007.06</v>
      </c>
      <c r="F40" s="77">
        <v>15</v>
      </c>
      <c r="G40" s="29"/>
      <c r="H40" s="3"/>
      <c r="I40" s="3"/>
      <c r="J40" s="3"/>
      <c r="K40" s="3"/>
      <c r="L40" s="3"/>
      <c r="M40" s="3"/>
      <c r="N40" s="49">
        <v>11.44</v>
      </c>
      <c r="O40" s="3"/>
      <c r="P40" s="3">
        <f t="shared" si="16"/>
        <v>7995.6200000000008</v>
      </c>
      <c r="Q40" s="3">
        <v>0</v>
      </c>
      <c r="R40" s="3"/>
      <c r="S40" s="3">
        <v>999.19</v>
      </c>
      <c r="T40" s="3">
        <v>0.02</v>
      </c>
      <c r="U40" s="55">
        <f t="shared" si="11"/>
        <v>920.81</v>
      </c>
      <c r="V40" s="29"/>
      <c r="W40" s="3">
        <f>SUM(S40:U40)+G40</f>
        <v>1920.02</v>
      </c>
      <c r="X40" s="33">
        <f t="shared" si="12"/>
        <v>6075.6</v>
      </c>
      <c r="Y40" s="53">
        <v>448.13</v>
      </c>
      <c r="Z40" s="3">
        <f t="shared" si="13"/>
        <v>1641.45</v>
      </c>
      <c r="AA40" s="35">
        <f t="shared" si="14"/>
        <v>160.13999999999999</v>
      </c>
      <c r="AB40" s="54">
        <f t="shared" si="15"/>
        <v>2249.7199999999998</v>
      </c>
    </row>
    <row r="41" spans="1:28" ht="21" x14ac:dyDescent="0.35">
      <c r="A41" s="1"/>
      <c r="B41" s="44" t="s">
        <v>105</v>
      </c>
      <c r="C41" s="2" t="s">
        <v>106</v>
      </c>
      <c r="D41" s="1" t="s">
        <v>104</v>
      </c>
      <c r="E41" s="3">
        <v>7738.82</v>
      </c>
      <c r="F41" s="77">
        <v>15</v>
      </c>
      <c r="G41" s="58"/>
      <c r="H41" s="3"/>
      <c r="I41" s="3"/>
      <c r="J41" s="3"/>
      <c r="K41" s="3"/>
      <c r="L41" s="3"/>
      <c r="M41" s="3"/>
      <c r="N41" s="51"/>
      <c r="O41" s="3"/>
      <c r="P41" s="3">
        <f t="shared" si="16"/>
        <v>7738.82</v>
      </c>
      <c r="Q41" s="3">
        <v>0</v>
      </c>
      <c r="R41" s="3"/>
      <c r="S41" s="3">
        <v>941.91</v>
      </c>
      <c r="T41" s="3">
        <v>0.15</v>
      </c>
      <c r="U41" s="55">
        <f t="shared" si="11"/>
        <v>889.96</v>
      </c>
      <c r="V41" s="29"/>
      <c r="W41" s="3">
        <f>SUM(S41:U41)+G41</f>
        <v>1832.02</v>
      </c>
      <c r="X41" s="33">
        <f t="shared" si="12"/>
        <v>5906.7999999999993</v>
      </c>
      <c r="Y41" s="53">
        <v>440.8</v>
      </c>
      <c r="Z41" s="3">
        <f t="shared" si="13"/>
        <v>1586.45</v>
      </c>
      <c r="AA41" s="35">
        <f t="shared" si="14"/>
        <v>154.78</v>
      </c>
      <c r="AB41" s="54">
        <f t="shared" si="15"/>
        <v>2182.0300000000002</v>
      </c>
    </row>
    <row r="42" spans="1:28" ht="21" x14ac:dyDescent="0.35">
      <c r="A42" s="1"/>
      <c r="B42" s="44" t="s">
        <v>107</v>
      </c>
      <c r="C42" s="2" t="s">
        <v>108</v>
      </c>
      <c r="D42" s="1" t="s">
        <v>104</v>
      </c>
      <c r="E42" s="3">
        <v>7738.82</v>
      </c>
      <c r="F42" s="77">
        <v>15</v>
      </c>
      <c r="G42" s="3"/>
      <c r="H42" s="3"/>
      <c r="I42" s="3"/>
      <c r="J42" s="3"/>
      <c r="K42" s="3"/>
      <c r="L42" s="3"/>
      <c r="M42" s="3"/>
      <c r="N42" s="49">
        <v>6.14</v>
      </c>
      <c r="O42" s="3"/>
      <c r="P42" s="3">
        <f t="shared" si="16"/>
        <v>7732.6799999999994</v>
      </c>
      <c r="Q42" s="3">
        <v>0</v>
      </c>
      <c r="R42" s="3"/>
      <c r="S42" s="3">
        <v>941.91</v>
      </c>
      <c r="T42" s="3">
        <v>0.01</v>
      </c>
      <c r="U42" s="55">
        <f t="shared" si="11"/>
        <v>889.96</v>
      </c>
      <c r="V42" s="29"/>
      <c r="W42" s="3">
        <f>SUM(S42:U42)+G42</f>
        <v>1831.88</v>
      </c>
      <c r="X42" s="33">
        <f t="shared" si="12"/>
        <v>5900.7999999999993</v>
      </c>
      <c r="Y42" s="53">
        <v>440.8</v>
      </c>
      <c r="Z42" s="3">
        <f t="shared" si="13"/>
        <v>1586.45</v>
      </c>
      <c r="AA42" s="35">
        <f t="shared" si="14"/>
        <v>154.78</v>
      </c>
      <c r="AB42" s="54">
        <f t="shared" si="15"/>
        <v>2182.0300000000002</v>
      </c>
    </row>
    <row r="43" spans="1:28" ht="21" x14ac:dyDescent="0.35">
      <c r="A43" s="1"/>
      <c r="B43" t="s">
        <v>109</v>
      </c>
      <c r="C43" s="2" t="s">
        <v>110</v>
      </c>
      <c r="D43" t="s">
        <v>111</v>
      </c>
      <c r="E43" s="3">
        <v>8007.06</v>
      </c>
      <c r="F43" s="77">
        <v>15</v>
      </c>
      <c r="G43" s="3"/>
      <c r="H43" s="3"/>
      <c r="I43" s="3"/>
      <c r="J43" s="31">
        <v>2257.0300000000002</v>
      </c>
      <c r="K43" s="31">
        <v>86.18</v>
      </c>
      <c r="L43" s="31">
        <v>1375.93</v>
      </c>
      <c r="M43" s="31">
        <v>37.35</v>
      </c>
      <c r="N43" s="49">
        <v>8.9</v>
      </c>
      <c r="O43" s="3"/>
      <c r="P43" s="3">
        <f t="shared" si="16"/>
        <v>7998.1600000000008</v>
      </c>
      <c r="Q43" s="3">
        <v>0</v>
      </c>
      <c r="R43" s="3"/>
      <c r="S43" s="3">
        <v>999.19</v>
      </c>
      <c r="T43" s="3">
        <v>7.0000000000000007E-2</v>
      </c>
      <c r="U43" s="55">
        <f t="shared" si="11"/>
        <v>920.81</v>
      </c>
      <c r="V43" s="29"/>
      <c r="W43" s="3">
        <f>SUM(S43:U43)+G43+J43+K43+L43+M43</f>
        <v>5676.5600000000013</v>
      </c>
      <c r="X43" s="33">
        <f t="shared" si="12"/>
        <v>2321.5999999999995</v>
      </c>
      <c r="Y43" s="53">
        <v>448.13</v>
      </c>
      <c r="Z43" s="3">
        <f t="shared" si="13"/>
        <v>1641.45</v>
      </c>
      <c r="AA43" s="35">
        <f t="shared" si="14"/>
        <v>160.13999999999999</v>
      </c>
      <c r="AB43" s="54">
        <f t="shared" si="15"/>
        <v>2249.7199999999998</v>
      </c>
    </row>
    <row r="44" spans="1:28" ht="21" x14ac:dyDescent="0.35">
      <c r="A44" s="1"/>
      <c r="B44" s="1" t="s">
        <v>112</v>
      </c>
      <c r="C44" s="2" t="s">
        <v>113</v>
      </c>
      <c r="D44" s="1" t="s">
        <v>111</v>
      </c>
      <c r="E44" s="3">
        <v>8007.06</v>
      </c>
      <c r="F44" s="77">
        <v>15</v>
      </c>
      <c r="G44" s="31">
        <v>1183.75</v>
      </c>
      <c r="H44" s="3"/>
      <c r="I44" s="3"/>
      <c r="J44" s="31">
        <v>2438.14</v>
      </c>
      <c r="K44" s="31">
        <v>112.95</v>
      </c>
      <c r="L44" s="29"/>
      <c r="M44" s="29"/>
      <c r="N44" s="49"/>
      <c r="O44" s="3"/>
      <c r="P44" s="3">
        <f t="shared" si="16"/>
        <v>8007.06</v>
      </c>
      <c r="Q44" s="3">
        <v>0</v>
      </c>
      <c r="R44" s="3"/>
      <c r="S44" s="3">
        <v>999.19</v>
      </c>
      <c r="T44" s="3">
        <v>0.02</v>
      </c>
      <c r="U44" s="55">
        <f t="shared" si="11"/>
        <v>920.81</v>
      </c>
      <c r="V44" s="29"/>
      <c r="W44" s="3">
        <f>SUM(S44:U44)+G44+J44+K44</f>
        <v>5654.86</v>
      </c>
      <c r="X44" s="33">
        <f t="shared" si="12"/>
        <v>2352.2000000000007</v>
      </c>
      <c r="Y44" s="53">
        <v>448.13</v>
      </c>
      <c r="Z44" s="3">
        <f t="shared" si="13"/>
        <v>1641.45</v>
      </c>
      <c r="AA44" s="35">
        <f t="shared" si="14"/>
        <v>160.13999999999999</v>
      </c>
      <c r="AB44" s="54">
        <f t="shared" si="15"/>
        <v>2249.7199999999998</v>
      </c>
    </row>
    <row r="45" spans="1:28" ht="21" x14ac:dyDescent="0.35">
      <c r="A45" s="1"/>
      <c r="B45" s="44" t="s">
        <v>114</v>
      </c>
      <c r="C45" s="2" t="s">
        <v>115</v>
      </c>
      <c r="D45" s="1" t="s">
        <v>116</v>
      </c>
      <c r="E45" s="3">
        <v>7738.82</v>
      </c>
      <c r="F45" s="77">
        <v>15</v>
      </c>
      <c r="G45" s="3"/>
      <c r="H45" s="3"/>
      <c r="I45" s="3"/>
      <c r="J45" s="3"/>
      <c r="K45" s="3"/>
      <c r="L45" s="3"/>
      <c r="M45" s="3"/>
      <c r="N45" s="51"/>
      <c r="O45" s="3"/>
      <c r="P45" s="3">
        <f t="shared" si="16"/>
        <v>7738.82</v>
      </c>
      <c r="Q45" s="3">
        <v>0</v>
      </c>
      <c r="R45" s="3"/>
      <c r="S45" s="3">
        <v>941.91</v>
      </c>
      <c r="T45" s="3">
        <v>-0.09</v>
      </c>
      <c r="U45" s="55"/>
      <c r="V45" s="29"/>
      <c r="W45" s="3">
        <f>SUM(S45:U45)+G45</f>
        <v>941.81999999999994</v>
      </c>
      <c r="X45" s="33">
        <f t="shared" si="12"/>
        <v>6797</v>
      </c>
      <c r="Y45" s="53">
        <v>440.8</v>
      </c>
      <c r="Z45" s="3">
        <v>0</v>
      </c>
      <c r="AA45" s="35">
        <v>0</v>
      </c>
      <c r="AB45" s="54">
        <f t="shared" si="15"/>
        <v>440.8</v>
      </c>
    </row>
    <row r="46" spans="1:28" ht="21" x14ac:dyDescent="0.35">
      <c r="A46" s="1"/>
      <c r="B46" s="1" t="s">
        <v>117</v>
      </c>
      <c r="C46" s="2" t="s">
        <v>118</v>
      </c>
      <c r="D46" s="1" t="s">
        <v>116</v>
      </c>
      <c r="E46" s="3">
        <v>8007.06</v>
      </c>
      <c r="F46" s="77">
        <v>15</v>
      </c>
      <c r="G46" s="31">
        <v>1754</v>
      </c>
      <c r="H46" s="3"/>
      <c r="I46" s="3"/>
      <c r="J46" s="3"/>
      <c r="K46" s="3"/>
      <c r="L46" s="3"/>
      <c r="M46" s="3"/>
      <c r="N46" s="51">
        <v>2.54</v>
      </c>
      <c r="O46" s="3"/>
      <c r="P46" s="3">
        <f t="shared" si="16"/>
        <v>8004.52</v>
      </c>
      <c r="Q46" s="3">
        <v>0</v>
      </c>
      <c r="R46" s="3"/>
      <c r="S46" s="3">
        <v>999.19</v>
      </c>
      <c r="T46" s="3">
        <v>0.12</v>
      </c>
      <c r="U46" s="55">
        <f t="shared" ref="U46:U52" si="17">ROUND(E46*0.115,2)</f>
        <v>920.81</v>
      </c>
      <c r="V46" s="29"/>
      <c r="W46" s="3">
        <f>SUM(S46:U46)+G46</f>
        <v>3674.12</v>
      </c>
      <c r="X46" s="33">
        <f t="shared" si="12"/>
        <v>4330.4000000000005</v>
      </c>
      <c r="Y46" s="53">
        <v>448.13</v>
      </c>
      <c r="Z46" s="3">
        <f t="shared" ref="Z46:Z52" si="18">ROUND(+E46*17.5%,2)+ROUND(E46*3%,2)</f>
        <v>1641.45</v>
      </c>
      <c r="AA46" s="35">
        <f t="shared" ref="AA46:AA52" si="19">ROUND(+E46*2%,2)</f>
        <v>160.13999999999999</v>
      </c>
      <c r="AB46" s="54">
        <f t="shared" si="15"/>
        <v>2249.7199999999998</v>
      </c>
    </row>
    <row r="47" spans="1:28" ht="21" x14ac:dyDescent="0.35">
      <c r="A47" s="1"/>
      <c r="B47" t="s">
        <v>119</v>
      </c>
      <c r="C47" s="2" t="s">
        <v>120</v>
      </c>
      <c r="D47" t="s">
        <v>121</v>
      </c>
      <c r="E47" s="3">
        <v>8007.06</v>
      </c>
      <c r="F47" s="77">
        <v>15</v>
      </c>
      <c r="G47" s="31">
        <v>1512</v>
      </c>
      <c r="H47" s="3"/>
      <c r="I47" s="3"/>
      <c r="J47" s="3"/>
      <c r="K47" s="3"/>
      <c r="L47" s="3"/>
      <c r="M47" s="3"/>
      <c r="N47" s="51">
        <v>16.52</v>
      </c>
      <c r="O47" s="3"/>
      <c r="P47" s="3">
        <f t="shared" si="16"/>
        <v>7990.54</v>
      </c>
      <c r="Q47" s="3">
        <v>0</v>
      </c>
      <c r="R47" s="3"/>
      <c r="S47" s="3">
        <v>999.19</v>
      </c>
      <c r="T47" s="3">
        <v>0.14000000000000001</v>
      </c>
      <c r="U47" s="55">
        <f t="shared" si="17"/>
        <v>920.81</v>
      </c>
      <c r="V47" s="29"/>
      <c r="W47" s="3">
        <f>SUM(S47:U47)+G47</f>
        <v>3432.14</v>
      </c>
      <c r="X47" s="33">
        <f t="shared" si="12"/>
        <v>4558.3999999999996</v>
      </c>
      <c r="Y47" s="53">
        <v>448.13</v>
      </c>
      <c r="Z47" s="3">
        <f t="shared" si="18"/>
        <v>1641.45</v>
      </c>
      <c r="AA47" s="35">
        <f t="shared" si="19"/>
        <v>160.13999999999999</v>
      </c>
      <c r="AB47" s="54">
        <f t="shared" si="15"/>
        <v>2249.7199999999998</v>
      </c>
    </row>
    <row r="48" spans="1:28" ht="21" x14ac:dyDescent="0.35">
      <c r="A48" s="1"/>
      <c r="B48" t="s">
        <v>122</v>
      </c>
      <c r="C48" s="2" t="s">
        <v>123</v>
      </c>
      <c r="D48" t="s">
        <v>121</v>
      </c>
      <c r="E48" s="3">
        <v>8007.06</v>
      </c>
      <c r="F48" s="77">
        <v>15</v>
      </c>
      <c r="G48" s="29"/>
      <c r="H48" s="3"/>
      <c r="I48" s="31">
        <v>3996.62</v>
      </c>
      <c r="J48" s="3"/>
      <c r="K48" s="3"/>
      <c r="L48" s="3"/>
      <c r="M48" s="3"/>
      <c r="N48" s="51"/>
      <c r="O48" s="3"/>
      <c r="P48" s="3">
        <f t="shared" si="16"/>
        <v>8007.06</v>
      </c>
      <c r="Q48" s="3">
        <v>0</v>
      </c>
      <c r="R48" s="3"/>
      <c r="S48" s="3">
        <v>999.19</v>
      </c>
      <c r="T48" s="3">
        <v>0.04</v>
      </c>
      <c r="U48" s="55">
        <f t="shared" si="17"/>
        <v>920.81</v>
      </c>
      <c r="V48" s="29"/>
      <c r="W48" s="3">
        <f>SUM(S48:U48)+G48+I48</f>
        <v>5916.66</v>
      </c>
      <c r="X48" s="33">
        <f t="shared" si="12"/>
        <v>2090.4000000000005</v>
      </c>
      <c r="Y48" s="53">
        <v>448.13</v>
      </c>
      <c r="Z48" s="3">
        <f t="shared" si="18"/>
        <v>1641.45</v>
      </c>
      <c r="AA48" s="35">
        <f t="shared" si="19"/>
        <v>160.13999999999999</v>
      </c>
      <c r="AB48" s="54">
        <f t="shared" si="15"/>
        <v>2249.7199999999998</v>
      </c>
    </row>
    <row r="49" spans="1:28" ht="21" x14ac:dyDescent="0.35">
      <c r="A49" s="1"/>
      <c r="B49" t="s">
        <v>124</v>
      </c>
      <c r="C49" s="2" t="s">
        <v>125</v>
      </c>
      <c r="D49" t="s">
        <v>121</v>
      </c>
      <c r="E49" s="3">
        <v>8007.06</v>
      </c>
      <c r="F49" s="77">
        <v>15</v>
      </c>
      <c r="G49" s="31">
        <v>3317.12</v>
      </c>
      <c r="H49" s="3"/>
      <c r="I49" s="3"/>
      <c r="J49" s="3"/>
      <c r="K49" s="3"/>
      <c r="L49" s="3"/>
      <c r="M49" s="3"/>
      <c r="N49" s="51"/>
      <c r="O49" s="3"/>
      <c r="P49" s="3">
        <f t="shared" si="16"/>
        <v>8007.06</v>
      </c>
      <c r="Q49" s="3">
        <v>0</v>
      </c>
      <c r="R49" s="3"/>
      <c r="S49" s="3">
        <v>999.19</v>
      </c>
      <c r="T49" s="3">
        <v>0.14000000000000001</v>
      </c>
      <c r="U49" s="55">
        <f t="shared" si="17"/>
        <v>920.81</v>
      </c>
      <c r="V49" s="29"/>
      <c r="W49" s="3">
        <f>SUM(S49:U49)+G49</f>
        <v>5237.26</v>
      </c>
      <c r="X49" s="33">
        <f t="shared" si="12"/>
        <v>2769.8</v>
      </c>
      <c r="Y49" s="53">
        <v>448.13</v>
      </c>
      <c r="Z49" s="3">
        <f t="shared" si="18"/>
        <v>1641.45</v>
      </c>
      <c r="AA49" s="35">
        <f t="shared" si="19"/>
        <v>160.13999999999999</v>
      </c>
      <c r="AB49" s="54">
        <f t="shared" si="15"/>
        <v>2249.7199999999998</v>
      </c>
    </row>
    <row r="50" spans="1:28" ht="21" x14ac:dyDescent="0.35">
      <c r="A50" s="1"/>
      <c r="B50" t="s">
        <v>126</v>
      </c>
      <c r="C50" s="2" t="s">
        <v>127</v>
      </c>
      <c r="D50" t="s">
        <v>121</v>
      </c>
      <c r="E50" s="3">
        <v>8007.06</v>
      </c>
      <c r="F50" s="77">
        <v>15</v>
      </c>
      <c r="G50" s="3"/>
      <c r="H50" s="3"/>
      <c r="I50" s="31">
        <v>2600.7800000000002</v>
      </c>
      <c r="J50" s="3"/>
      <c r="K50" s="3"/>
      <c r="L50" s="3"/>
      <c r="M50" s="3"/>
      <c r="N50" s="51">
        <v>3.81</v>
      </c>
      <c r="O50" s="3"/>
      <c r="P50" s="3">
        <f t="shared" si="16"/>
        <v>8003.25</v>
      </c>
      <c r="Q50" s="3">
        <v>0</v>
      </c>
      <c r="R50" s="3"/>
      <c r="S50" s="3">
        <v>999.19</v>
      </c>
      <c r="T50" s="3">
        <v>7.0000000000000007E-2</v>
      </c>
      <c r="U50" s="55">
        <f t="shared" si="17"/>
        <v>920.81</v>
      </c>
      <c r="V50" s="29"/>
      <c r="W50" s="3">
        <f>SUM(S50:U50)+G50+I50</f>
        <v>4520.8500000000004</v>
      </c>
      <c r="X50" s="59">
        <f t="shared" si="12"/>
        <v>3482.3999999999996</v>
      </c>
      <c r="Y50" s="53">
        <v>448.13</v>
      </c>
      <c r="Z50" s="3">
        <f t="shared" si="18"/>
        <v>1641.45</v>
      </c>
      <c r="AA50" s="35">
        <f t="shared" si="19"/>
        <v>160.13999999999999</v>
      </c>
      <c r="AB50" s="54">
        <f t="shared" si="15"/>
        <v>2249.7199999999998</v>
      </c>
    </row>
    <row r="51" spans="1:28" ht="21" x14ac:dyDescent="0.35">
      <c r="A51" s="1"/>
      <c r="B51" t="s">
        <v>128</v>
      </c>
      <c r="C51" s="2" t="s">
        <v>45</v>
      </c>
      <c r="D51" t="s">
        <v>121</v>
      </c>
      <c r="E51" s="3"/>
      <c r="F51" s="77"/>
      <c r="G51" s="3"/>
      <c r="H51" s="3"/>
      <c r="I51" s="3"/>
      <c r="J51" s="3"/>
      <c r="K51" s="3"/>
      <c r="L51" s="3"/>
      <c r="M51" s="3"/>
      <c r="N51" s="49"/>
      <c r="O51" s="3"/>
      <c r="P51" s="3">
        <f t="shared" si="16"/>
        <v>0</v>
      </c>
      <c r="Q51" s="3">
        <v>0</v>
      </c>
      <c r="R51" s="3"/>
      <c r="S51" s="3"/>
      <c r="T51" s="3"/>
      <c r="U51" s="55">
        <f t="shared" si="17"/>
        <v>0</v>
      </c>
      <c r="V51" s="29"/>
      <c r="W51" s="3">
        <f>SUM(S51:U51)+G51</f>
        <v>0</v>
      </c>
      <c r="X51" s="33">
        <f t="shared" si="12"/>
        <v>0</v>
      </c>
      <c r="Y51" s="53"/>
      <c r="Z51" s="3">
        <f t="shared" si="18"/>
        <v>0</v>
      </c>
      <c r="AA51" s="35">
        <f t="shared" si="19"/>
        <v>0</v>
      </c>
      <c r="AB51" s="54">
        <f t="shared" si="15"/>
        <v>0</v>
      </c>
    </row>
    <row r="52" spans="1:28" ht="21" x14ac:dyDescent="0.35">
      <c r="A52" s="1"/>
      <c r="B52" t="s">
        <v>129</v>
      </c>
      <c r="C52" s="2" t="s">
        <v>130</v>
      </c>
      <c r="D52" t="s">
        <v>131</v>
      </c>
      <c r="E52" s="3">
        <v>5169.53</v>
      </c>
      <c r="F52" s="77">
        <v>15</v>
      </c>
      <c r="G52" s="3"/>
      <c r="H52" s="3"/>
      <c r="I52" s="3"/>
      <c r="J52" s="3"/>
      <c r="K52" s="3"/>
      <c r="L52" s="3"/>
      <c r="M52" s="3"/>
      <c r="N52" s="51"/>
      <c r="O52" s="3"/>
      <c r="P52" s="3">
        <f t="shared" si="16"/>
        <v>5169.53</v>
      </c>
      <c r="Q52" s="3"/>
      <c r="R52" s="3"/>
      <c r="S52" s="3">
        <v>449.05</v>
      </c>
      <c r="T52" s="3">
        <v>-0.02</v>
      </c>
      <c r="U52" s="55">
        <f t="shared" si="17"/>
        <v>594.5</v>
      </c>
      <c r="V52" s="29"/>
      <c r="W52" s="3">
        <f>SUM(S52:U52)+G52</f>
        <v>1043.53</v>
      </c>
      <c r="X52" s="33">
        <f t="shared" si="12"/>
        <v>4126</v>
      </c>
      <c r="Y52" s="50">
        <v>370.64</v>
      </c>
      <c r="Z52" s="3">
        <f t="shared" si="18"/>
        <v>1059.76</v>
      </c>
      <c r="AA52" s="35">
        <f t="shared" si="19"/>
        <v>103.39</v>
      </c>
      <c r="AB52" s="54">
        <f t="shared" si="15"/>
        <v>1533.7900000000002</v>
      </c>
    </row>
    <row r="53" spans="1:28" ht="18.75" x14ac:dyDescent="0.3">
      <c r="A53" s="1"/>
      <c r="B53" s="23" t="s">
        <v>36</v>
      </c>
      <c r="C53" s="40"/>
      <c r="D53" s="41"/>
      <c r="E53" s="42">
        <f>SUM(E35:E52)</f>
        <v>124677.93</v>
      </c>
      <c r="F53" s="42"/>
      <c r="G53" s="42">
        <f>SUM(G35:G52)</f>
        <v>9513.7099999999991</v>
      </c>
      <c r="H53" s="42">
        <f t="shared" ref="H53:M53" si="20">SUM(H35:H52)</f>
        <v>0</v>
      </c>
      <c r="I53" s="42">
        <f t="shared" si="20"/>
        <v>9591.44</v>
      </c>
      <c r="J53" s="42">
        <f t="shared" si="20"/>
        <v>4695.17</v>
      </c>
      <c r="K53" s="42">
        <f t="shared" si="20"/>
        <v>199.13</v>
      </c>
      <c r="L53" s="42">
        <f t="shared" si="20"/>
        <v>1375.93</v>
      </c>
      <c r="M53" s="42">
        <f t="shared" si="20"/>
        <v>37.35</v>
      </c>
      <c r="N53" s="42">
        <f>SUM(N35:N52)</f>
        <v>51.959999999999994</v>
      </c>
      <c r="O53" s="42">
        <f t="shared" ref="O53:AB53" si="21">SUM(O35:O52)</f>
        <v>0</v>
      </c>
      <c r="P53" s="42">
        <f t="shared" si="21"/>
        <v>124625.97</v>
      </c>
      <c r="Q53" s="42">
        <f t="shared" si="21"/>
        <v>0</v>
      </c>
      <c r="R53" s="42">
        <f t="shared" si="21"/>
        <v>0</v>
      </c>
      <c r="S53" s="42">
        <f t="shared" si="21"/>
        <v>15309.340000000002</v>
      </c>
      <c r="T53" s="42">
        <f>SUM(T35:T52)</f>
        <v>0.73</v>
      </c>
      <c r="U53" s="42">
        <f t="shared" si="21"/>
        <v>13447.969999999996</v>
      </c>
      <c r="V53" s="42"/>
      <c r="W53" s="42">
        <f t="shared" si="21"/>
        <v>54170.770000000004</v>
      </c>
      <c r="X53" s="42">
        <f t="shared" si="21"/>
        <v>70455.200000000012</v>
      </c>
      <c r="Y53" s="42">
        <f t="shared" si="21"/>
        <v>7076.2600000000011</v>
      </c>
      <c r="Z53" s="42">
        <f t="shared" si="21"/>
        <v>23972.540000000005</v>
      </c>
      <c r="AA53" s="42">
        <f t="shared" si="21"/>
        <v>2338.7799999999988</v>
      </c>
      <c r="AB53" s="42">
        <f t="shared" si="21"/>
        <v>33387.580000000009</v>
      </c>
    </row>
    <row r="54" spans="1:28" ht="18.75" x14ac:dyDescent="0.3">
      <c r="A54" s="1"/>
      <c r="B54" s="1"/>
      <c r="C54" s="2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3"/>
      <c r="Y54" s="1"/>
      <c r="Z54" s="1"/>
      <c r="AA54" s="1"/>
      <c r="AB54" s="1"/>
    </row>
    <row r="55" spans="1:28" ht="18.75" x14ac:dyDescent="0.3">
      <c r="A55" s="1"/>
      <c r="B55" s="23" t="s">
        <v>132</v>
      </c>
      <c r="C55" s="40" t="s">
        <v>133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43"/>
      <c r="Y55" s="1"/>
      <c r="Z55" s="1"/>
      <c r="AA55" s="1"/>
      <c r="AB55" s="1"/>
    </row>
    <row r="56" spans="1:28" ht="21" x14ac:dyDescent="0.35">
      <c r="A56" s="27"/>
      <c r="B56" s="37" t="s">
        <v>134</v>
      </c>
      <c r="C56" s="28" t="s">
        <v>135</v>
      </c>
      <c r="D56" s="27" t="s">
        <v>136</v>
      </c>
      <c r="E56" s="3">
        <v>8214.2800000000007</v>
      </c>
      <c r="F56" s="30">
        <v>15</v>
      </c>
      <c r="G56" s="60"/>
      <c r="H56" s="29"/>
      <c r="I56" s="29"/>
      <c r="J56" s="29"/>
      <c r="K56" s="29"/>
      <c r="L56" s="29"/>
      <c r="M56" s="29"/>
      <c r="N56" s="38"/>
      <c r="O56" s="29"/>
      <c r="P56" s="29">
        <f>E56+-N56</f>
        <v>8214.2800000000007</v>
      </c>
      <c r="Q56" s="29"/>
      <c r="R56" s="29"/>
      <c r="S56" s="29">
        <v>1043.47</v>
      </c>
      <c r="T56" s="29">
        <v>0.01</v>
      </c>
      <c r="U56" s="32">
        <v>0</v>
      </c>
      <c r="V56" s="29"/>
      <c r="W56" s="29">
        <f>SUM(S56:U56)+G56</f>
        <v>1043.48</v>
      </c>
      <c r="X56" s="47">
        <f t="shared" ref="X56:X61" si="22">P56-W56</f>
        <v>7170.8000000000011</v>
      </c>
      <c r="Y56" s="48">
        <v>453.79</v>
      </c>
      <c r="Z56" s="3">
        <v>0</v>
      </c>
      <c r="AA56" s="35">
        <v>0</v>
      </c>
      <c r="AB56" s="36">
        <f t="shared" ref="AB56:AB61" si="23">SUM(Y56:AA56)</f>
        <v>453.79</v>
      </c>
    </row>
    <row r="57" spans="1:28" ht="21" x14ac:dyDescent="0.35">
      <c r="A57" s="1"/>
      <c r="B57" s="1" t="s">
        <v>137</v>
      </c>
      <c r="C57" s="2" t="s">
        <v>138</v>
      </c>
      <c r="D57" s="1" t="s">
        <v>91</v>
      </c>
      <c r="E57" s="3">
        <v>8007.06</v>
      </c>
      <c r="F57" s="77">
        <v>15</v>
      </c>
      <c r="G57" s="31">
        <v>953</v>
      </c>
      <c r="H57" s="3"/>
      <c r="I57" s="3"/>
      <c r="J57" s="3"/>
      <c r="K57" s="3"/>
      <c r="L57" s="3"/>
      <c r="M57" s="3"/>
      <c r="N57" s="51">
        <v>8.9</v>
      </c>
      <c r="O57" s="3"/>
      <c r="P57" s="29">
        <f t="shared" ref="P57:P61" si="24">E57+-N57</f>
        <v>7998.1600000000008</v>
      </c>
      <c r="Q57" s="3"/>
      <c r="R57" s="3"/>
      <c r="S57" s="3">
        <v>999.19</v>
      </c>
      <c r="T57" s="3">
        <v>0.16</v>
      </c>
      <c r="U57" s="32">
        <f t="shared" ref="U57:U61" si="25">ROUND(E57*0.115,2)</f>
        <v>920.81</v>
      </c>
      <c r="V57" s="29"/>
      <c r="W57" s="29">
        <f>SUM(S57:U57)+G57</f>
        <v>2873.16</v>
      </c>
      <c r="X57" s="33">
        <f t="shared" si="22"/>
        <v>5125.0000000000009</v>
      </c>
      <c r="Y57" s="53">
        <v>448.13</v>
      </c>
      <c r="Z57" s="3">
        <f t="shared" ref="Z57:Z61" si="26">ROUND(+E57*17.5%,2)+ROUND(E57*3%,2)</f>
        <v>1641.45</v>
      </c>
      <c r="AA57" s="35">
        <f t="shared" ref="AA57:AA61" si="27">ROUND(+E57*2%,2)</f>
        <v>160.13999999999999</v>
      </c>
      <c r="AB57" s="36">
        <f t="shared" si="23"/>
        <v>2249.7199999999998</v>
      </c>
    </row>
    <row r="58" spans="1:28" ht="21" x14ac:dyDescent="0.35">
      <c r="A58" s="1"/>
      <c r="B58" s="44" t="s">
        <v>139</v>
      </c>
      <c r="C58" s="2" t="s">
        <v>140</v>
      </c>
      <c r="D58" s="1" t="s">
        <v>121</v>
      </c>
      <c r="E58" s="3">
        <v>7738.82</v>
      </c>
      <c r="F58" s="77">
        <v>15</v>
      </c>
      <c r="G58" s="3"/>
      <c r="H58" s="3"/>
      <c r="I58" s="3"/>
      <c r="J58" s="3"/>
      <c r="K58" s="3"/>
      <c r="L58" s="3"/>
      <c r="M58" s="3"/>
      <c r="N58" s="51"/>
      <c r="O58" s="3"/>
      <c r="P58" s="29">
        <f t="shared" si="24"/>
        <v>7738.82</v>
      </c>
      <c r="Q58" s="3"/>
      <c r="R58" s="3"/>
      <c r="S58" s="3">
        <v>941.91</v>
      </c>
      <c r="T58" s="3">
        <v>-0.05</v>
      </c>
      <c r="U58" s="32">
        <f t="shared" si="25"/>
        <v>889.96</v>
      </c>
      <c r="V58" s="29"/>
      <c r="W58" s="29">
        <f>SUM(S58:U58)+G58</f>
        <v>1831.8200000000002</v>
      </c>
      <c r="X58" s="33">
        <f t="shared" si="22"/>
        <v>5907</v>
      </c>
      <c r="Y58" s="53">
        <v>440.8</v>
      </c>
      <c r="Z58" s="3">
        <f t="shared" si="26"/>
        <v>1586.45</v>
      </c>
      <c r="AA58" s="35">
        <f t="shared" si="27"/>
        <v>154.78</v>
      </c>
      <c r="AB58" s="36">
        <f t="shared" si="23"/>
        <v>2182.0300000000002</v>
      </c>
    </row>
    <row r="59" spans="1:28" ht="91.5" x14ac:dyDescent="0.35">
      <c r="A59" s="1" t="s">
        <v>141</v>
      </c>
      <c r="B59" t="s">
        <v>142</v>
      </c>
      <c r="C59" s="2" t="s">
        <v>143</v>
      </c>
      <c r="D59" s="61" t="s">
        <v>144</v>
      </c>
      <c r="E59" s="3">
        <v>7774.4</v>
      </c>
      <c r="F59" s="77">
        <v>15</v>
      </c>
      <c r="G59" s="31">
        <v>770</v>
      </c>
      <c r="H59" s="3"/>
      <c r="I59" s="3"/>
      <c r="J59" s="3"/>
      <c r="K59" s="3"/>
      <c r="L59" s="3"/>
      <c r="M59" s="3"/>
      <c r="N59" s="51"/>
      <c r="O59" s="3"/>
      <c r="P59" s="29">
        <f t="shared" si="24"/>
        <v>7774.4</v>
      </c>
      <c r="Q59" s="3"/>
      <c r="R59" s="3"/>
      <c r="S59" s="3">
        <v>949.5</v>
      </c>
      <c r="T59" s="3">
        <v>0.04</v>
      </c>
      <c r="U59" s="32">
        <f t="shared" si="25"/>
        <v>894.06</v>
      </c>
      <c r="V59" s="29"/>
      <c r="W59" s="29">
        <f>SUM(S59:U59)+G59</f>
        <v>2613.6</v>
      </c>
      <c r="X59" s="33">
        <f t="shared" si="22"/>
        <v>5160.7999999999993</v>
      </c>
      <c r="Y59" s="53">
        <v>441.77</v>
      </c>
      <c r="Z59" s="3">
        <f t="shared" si="26"/>
        <v>1593.75</v>
      </c>
      <c r="AA59" s="35">
        <f t="shared" si="27"/>
        <v>155.49</v>
      </c>
      <c r="AB59" s="36">
        <f t="shared" si="23"/>
        <v>2191.0100000000002</v>
      </c>
    </row>
    <row r="60" spans="1:28" ht="91.5" x14ac:dyDescent="0.35">
      <c r="A60" s="1"/>
      <c r="B60" t="s">
        <v>145</v>
      </c>
      <c r="C60" s="2" t="s">
        <v>146</v>
      </c>
      <c r="D60" s="61" t="s">
        <v>144</v>
      </c>
      <c r="E60" s="3">
        <v>7774.4</v>
      </c>
      <c r="F60" s="77">
        <v>15</v>
      </c>
      <c r="G60" s="3"/>
      <c r="H60" s="3"/>
      <c r="I60" s="3"/>
      <c r="J60" s="3"/>
      <c r="K60" s="3"/>
      <c r="L60" s="3"/>
      <c r="M60" s="3"/>
      <c r="N60" s="51">
        <v>17.28</v>
      </c>
      <c r="O60" s="3"/>
      <c r="P60" s="29">
        <f t="shared" si="24"/>
        <v>7757.12</v>
      </c>
      <c r="Q60" s="3"/>
      <c r="R60" s="3"/>
      <c r="S60" s="3">
        <v>949.5</v>
      </c>
      <c r="T60" s="3">
        <v>-0.04</v>
      </c>
      <c r="U60" s="32">
        <f t="shared" si="25"/>
        <v>894.06</v>
      </c>
      <c r="V60" s="29"/>
      <c r="W60" s="29">
        <f>SUM(S60:U60)+G60</f>
        <v>1843.52</v>
      </c>
      <c r="X60" s="33">
        <f t="shared" si="22"/>
        <v>5913.6</v>
      </c>
      <c r="Y60" s="53">
        <v>441.77</v>
      </c>
      <c r="Z60" s="3">
        <f t="shared" si="26"/>
        <v>1593.75</v>
      </c>
      <c r="AA60" s="35">
        <f t="shared" si="27"/>
        <v>155.49</v>
      </c>
      <c r="AB60" s="36">
        <f t="shared" si="23"/>
        <v>2191.0100000000002</v>
      </c>
    </row>
    <row r="61" spans="1:28" ht="91.5" x14ac:dyDescent="0.35">
      <c r="A61" s="1"/>
      <c r="B61" t="s">
        <v>147</v>
      </c>
      <c r="C61" s="2" t="s">
        <v>148</v>
      </c>
      <c r="D61" s="61" t="s">
        <v>144</v>
      </c>
      <c r="E61" s="3">
        <v>7774.4</v>
      </c>
      <c r="F61" s="77">
        <v>15</v>
      </c>
      <c r="G61" s="31">
        <v>3887</v>
      </c>
      <c r="H61" s="3"/>
      <c r="I61" s="3"/>
      <c r="J61" s="3"/>
      <c r="K61" s="3"/>
      <c r="L61" s="3"/>
      <c r="M61" s="3"/>
      <c r="N61" s="51"/>
      <c r="O61" s="3"/>
      <c r="P61" s="29">
        <f t="shared" si="24"/>
        <v>7774.4</v>
      </c>
      <c r="Q61" s="3"/>
      <c r="R61" s="3"/>
      <c r="S61" s="3">
        <v>949.5</v>
      </c>
      <c r="T61" s="3">
        <v>0.04</v>
      </c>
      <c r="U61" s="32">
        <f t="shared" si="25"/>
        <v>894.06</v>
      </c>
      <c r="V61" s="29">
        <v>200</v>
      </c>
      <c r="W61" s="29">
        <f>SUM(S61:V61)+G61</f>
        <v>5930.6</v>
      </c>
      <c r="X61" s="33">
        <f t="shared" si="22"/>
        <v>1843.7999999999993</v>
      </c>
      <c r="Y61" s="53">
        <v>441.77</v>
      </c>
      <c r="Z61" s="3">
        <f t="shared" si="26"/>
        <v>1593.75</v>
      </c>
      <c r="AA61" s="35">
        <f t="shared" si="27"/>
        <v>155.49</v>
      </c>
      <c r="AB61" s="36">
        <f t="shared" si="23"/>
        <v>2191.0100000000002</v>
      </c>
    </row>
    <row r="62" spans="1:28" ht="18.75" x14ac:dyDescent="0.3">
      <c r="A62" s="1"/>
      <c r="B62" s="23" t="s">
        <v>36</v>
      </c>
      <c r="C62" s="40"/>
      <c r="D62" s="41"/>
      <c r="E62" s="42">
        <f>SUM(E56:E61)</f>
        <v>47283.360000000001</v>
      </c>
      <c r="F62" s="42"/>
      <c r="G62" s="42">
        <f>SUM(G56:G61)</f>
        <v>5610</v>
      </c>
      <c r="H62" s="42">
        <f>SUM(H56:H61)</f>
        <v>0</v>
      </c>
      <c r="I62" s="42"/>
      <c r="J62" s="42"/>
      <c r="K62" s="42"/>
      <c r="L62" s="42"/>
      <c r="M62" s="42"/>
      <c r="N62" s="42">
        <f>SUM(N56:N61)</f>
        <v>26.18</v>
      </c>
      <c r="O62" s="42">
        <f>SUM(O56:O61)</f>
        <v>0</v>
      </c>
      <c r="P62" s="42">
        <f>SUM(P56:P61)</f>
        <v>47257.180000000008</v>
      </c>
      <c r="Q62" s="42">
        <f t="shared" ref="Q62:AB62" si="28">SUM(Q56:Q61)</f>
        <v>0</v>
      </c>
      <c r="R62" s="42">
        <f t="shared" si="28"/>
        <v>0</v>
      </c>
      <c r="S62" s="42">
        <f t="shared" si="28"/>
        <v>5833.07</v>
      </c>
      <c r="T62" s="42">
        <f t="shared" si="28"/>
        <v>0.16</v>
      </c>
      <c r="U62" s="42">
        <f t="shared" si="28"/>
        <v>4492.95</v>
      </c>
      <c r="V62" s="42">
        <f t="shared" si="28"/>
        <v>200</v>
      </c>
      <c r="W62" s="42">
        <f t="shared" si="28"/>
        <v>16136.18</v>
      </c>
      <c r="X62" s="42">
        <f>SUM(X56:X61)</f>
        <v>31121.000000000004</v>
      </c>
      <c r="Y62" s="42">
        <f t="shared" si="28"/>
        <v>2668.03</v>
      </c>
      <c r="Z62" s="42">
        <f t="shared" si="28"/>
        <v>8009.15</v>
      </c>
      <c r="AA62" s="42">
        <f t="shared" si="28"/>
        <v>781.39</v>
      </c>
      <c r="AB62" s="42">
        <f t="shared" si="28"/>
        <v>11458.570000000002</v>
      </c>
    </row>
    <row r="63" spans="1:28" ht="18.75" x14ac:dyDescent="0.3">
      <c r="A63" s="1"/>
      <c r="B63" s="23"/>
      <c r="C63" s="2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62"/>
      <c r="Q63" s="62"/>
      <c r="R63" s="62"/>
      <c r="S63" s="62"/>
      <c r="T63" s="62"/>
      <c r="U63" s="62"/>
      <c r="V63" s="62"/>
      <c r="W63" s="62"/>
      <c r="X63" s="63"/>
      <c r="Y63" s="64"/>
      <c r="Z63" s="64"/>
      <c r="AA63" s="64"/>
      <c r="AB63" s="64"/>
    </row>
    <row r="64" spans="1:28" ht="18.75" x14ac:dyDescent="0.3">
      <c r="A64" s="1"/>
      <c r="B64" s="23" t="s">
        <v>149</v>
      </c>
      <c r="C64" s="40" t="s">
        <v>150</v>
      </c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3"/>
      <c r="Y64" s="1"/>
      <c r="Z64" s="1"/>
      <c r="AA64" s="1"/>
      <c r="AB64" s="1"/>
    </row>
    <row r="65" spans="1:28" ht="21" x14ac:dyDescent="0.35">
      <c r="A65" s="27"/>
      <c r="B65" s="37" t="s">
        <v>151</v>
      </c>
      <c r="C65" s="28" t="s">
        <v>152</v>
      </c>
      <c r="D65" s="37" t="s">
        <v>153</v>
      </c>
      <c r="E65" s="29">
        <v>4342.5</v>
      </c>
      <c r="F65" s="30">
        <v>15</v>
      </c>
      <c r="G65" s="60"/>
      <c r="H65" s="29"/>
      <c r="I65" s="29"/>
      <c r="J65" s="29"/>
      <c r="K65" s="29"/>
      <c r="L65" s="29"/>
      <c r="M65" s="29"/>
      <c r="N65" s="38">
        <v>1.21</v>
      </c>
      <c r="O65" s="29"/>
      <c r="P65" s="29">
        <f>E65+-N65</f>
        <v>4341.29</v>
      </c>
      <c r="Q65" s="29"/>
      <c r="R65" s="29"/>
      <c r="S65" s="3">
        <v>337.28</v>
      </c>
      <c r="T65" s="3">
        <v>0.01</v>
      </c>
      <c r="U65" s="32"/>
      <c r="V65" s="29"/>
      <c r="W65" s="29">
        <f>SUM(S65:U65)+G65</f>
        <v>337.28999999999996</v>
      </c>
      <c r="X65" s="33">
        <f t="shared" ref="X65:X69" si="29">P65-W65</f>
        <v>4004</v>
      </c>
      <c r="Y65" s="48">
        <v>348.06</v>
      </c>
      <c r="Z65" s="3"/>
      <c r="AA65" s="35"/>
      <c r="AB65" s="36">
        <f t="shared" ref="AB65:AB69" si="30">SUM(Y65:AA65)</f>
        <v>348.06</v>
      </c>
    </row>
    <row r="66" spans="1:28" ht="21" x14ac:dyDescent="0.35">
      <c r="A66" s="1"/>
      <c r="B66" s="37" t="s">
        <v>154</v>
      </c>
      <c r="C66" s="28" t="s">
        <v>155</v>
      </c>
      <c r="D66" s="37" t="s">
        <v>153</v>
      </c>
      <c r="E66" s="29">
        <v>4342.5</v>
      </c>
      <c r="F66" s="77">
        <v>15</v>
      </c>
      <c r="G66" s="29"/>
      <c r="H66" s="3"/>
      <c r="I66" s="3"/>
      <c r="J66" s="3"/>
      <c r="K66" s="3"/>
      <c r="L66" s="3"/>
      <c r="M66" s="3"/>
      <c r="N66" s="51"/>
      <c r="O66" s="3"/>
      <c r="P66" s="29">
        <f t="shared" ref="P66:P69" si="31">E66+-N66</f>
        <v>4342.5</v>
      </c>
      <c r="Q66" s="3"/>
      <c r="R66" s="3"/>
      <c r="S66" s="3">
        <v>337.28</v>
      </c>
      <c r="T66" s="3">
        <v>0.02</v>
      </c>
      <c r="U66" s="32"/>
      <c r="V66" s="29"/>
      <c r="W66" s="29">
        <f>SUM(S66:U66)+G66</f>
        <v>337.29999999999995</v>
      </c>
      <c r="X66" s="33">
        <f t="shared" si="29"/>
        <v>4005.2</v>
      </c>
      <c r="Y66" s="48">
        <v>348.06</v>
      </c>
      <c r="Z66" s="3"/>
      <c r="AA66" s="35"/>
      <c r="AB66" s="36">
        <f t="shared" si="30"/>
        <v>348.06</v>
      </c>
    </row>
    <row r="67" spans="1:28" ht="21" x14ac:dyDescent="0.35">
      <c r="A67" s="1"/>
      <c r="B67" s="37" t="s">
        <v>156</v>
      </c>
      <c r="C67" s="2" t="s">
        <v>157</v>
      </c>
      <c r="D67" s="37" t="s">
        <v>153</v>
      </c>
      <c r="E67" s="29">
        <v>4342.5</v>
      </c>
      <c r="F67" s="77">
        <v>15</v>
      </c>
      <c r="G67" s="3"/>
      <c r="H67" s="3"/>
      <c r="I67" s="3"/>
      <c r="J67" s="3"/>
      <c r="K67" s="3"/>
      <c r="L67" s="3"/>
      <c r="M67" s="3"/>
      <c r="N67" s="51"/>
      <c r="O67" s="3"/>
      <c r="P67" s="29">
        <f t="shared" si="31"/>
        <v>4342.5</v>
      </c>
      <c r="Q67" s="3"/>
      <c r="R67" s="3"/>
      <c r="S67" s="3">
        <v>337.28</v>
      </c>
      <c r="T67" s="3">
        <v>0.02</v>
      </c>
      <c r="U67" s="32"/>
      <c r="V67" s="29"/>
      <c r="W67" s="29">
        <f>SUM(S67:U67)+G67</f>
        <v>337.29999999999995</v>
      </c>
      <c r="X67" s="33">
        <f t="shared" si="29"/>
        <v>4005.2</v>
      </c>
      <c r="Y67" s="48">
        <v>348.06</v>
      </c>
      <c r="Z67" s="3"/>
      <c r="AA67" s="35"/>
      <c r="AB67" s="36">
        <f t="shared" si="30"/>
        <v>348.06</v>
      </c>
    </row>
    <row r="68" spans="1:28" ht="21" x14ac:dyDescent="0.35">
      <c r="A68" s="1" t="s">
        <v>141</v>
      </c>
      <c r="B68" s="37" t="s">
        <v>158</v>
      </c>
      <c r="C68" s="2" t="s">
        <v>159</v>
      </c>
      <c r="D68" s="37" t="s">
        <v>153</v>
      </c>
      <c r="E68" s="29">
        <v>4342.5</v>
      </c>
      <c r="F68" s="77">
        <v>15</v>
      </c>
      <c r="G68" s="29"/>
      <c r="H68" s="3"/>
      <c r="I68" s="3"/>
      <c r="J68" s="3"/>
      <c r="K68" s="3"/>
      <c r="L68" s="3"/>
      <c r="M68" s="3"/>
      <c r="N68" s="51"/>
      <c r="O68" s="3"/>
      <c r="P68" s="29">
        <f t="shared" si="31"/>
        <v>4342.5</v>
      </c>
      <c r="Q68" s="3"/>
      <c r="R68" s="3"/>
      <c r="S68" s="3">
        <v>337.28</v>
      </c>
      <c r="T68" s="3">
        <v>0.02</v>
      </c>
      <c r="U68" s="32"/>
      <c r="V68" s="29"/>
      <c r="W68" s="29">
        <f>SUM(S68:U68)+G68</f>
        <v>337.29999999999995</v>
      </c>
      <c r="X68" s="33">
        <f t="shared" si="29"/>
        <v>4005.2</v>
      </c>
      <c r="Y68" s="48">
        <v>348.06</v>
      </c>
      <c r="Z68" s="3"/>
      <c r="AA68" s="35"/>
      <c r="AB68" s="36">
        <f t="shared" si="30"/>
        <v>348.06</v>
      </c>
    </row>
    <row r="69" spans="1:28" ht="31.5" x14ac:dyDescent="0.35">
      <c r="A69" s="1"/>
      <c r="B69" s="37" t="s">
        <v>160</v>
      </c>
      <c r="C69" s="2" t="s">
        <v>161</v>
      </c>
      <c r="D69" s="61" t="s">
        <v>58</v>
      </c>
      <c r="E69" s="3">
        <v>3000</v>
      </c>
      <c r="F69" s="77">
        <v>15</v>
      </c>
      <c r="G69" s="3"/>
      <c r="H69" s="3"/>
      <c r="I69" s="3"/>
      <c r="J69" s="3"/>
      <c r="K69" s="3"/>
      <c r="L69" s="3"/>
      <c r="M69" s="3"/>
      <c r="N69" s="51"/>
      <c r="O69" s="3"/>
      <c r="P69" s="29">
        <f t="shared" si="31"/>
        <v>3000</v>
      </c>
      <c r="Q69" s="3"/>
      <c r="R69" s="3"/>
      <c r="S69" s="3">
        <v>45.84</v>
      </c>
      <c r="T69" s="3">
        <v>-0.04</v>
      </c>
      <c r="U69" s="32"/>
      <c r="V69" s="29"/>
      <c r="W69" s="29">
        <f>SUM(S69:U69)+G69</f>
        <v>45.800000000000004</v>
      </c>
      <c r="X69" s="33">
        <f t="shared" si="29"/>
        <v>2954.2</v>
      </c>
      <c r="Y69" s="53">
        <v>322.73</v>
      </c>
      <c r="Z69" s="3"/>
      <c r="AA69" s="35"/>
      <c r="AB69" s="36">
        <f t="shared" si="30"/>
        <v>322.73</v>
      </c>
    </row>
    <row r="70" spans="1:28" ht="18.75" x14ac:dyDescent="0.3">
      <c r="A70" s="1"/>
      <c r="B70" s="23" t="s">
        <v>36</v>
      </c>
      <c r="C70" s="40"/>
      <c r="D70" s="41"/>
      <c r="E70" s="42">
        <f>SUM(E65:E69)</f>
        <v>20370</v>
      </c>
      <c r="F70" s="42"/>
      <c r="G70" s="42">
        <f>SUM(G65:G69)</f>
        <v>0</v>
      </c>
      <c r="H70" s="42">
        <f>SUM(H65:H69)</f>
        <v>0</v>
      </c>
      <c r="I70" s="42"/>
      <c r="J70" s="42"/>
      <c r="K70" s="42"/>
      <c r="L70" s="42"/>
      <c r="M70" s="42"/>
      <c r="N70" s="42">
        <f t="shared" ref="N70:AB70" si="32">SUM(N65:N69)</f>
        <v>1.21</v>
      </c>
      <c r="O70" s="42">
        <f t="shared" si="32"/>
        <v>0</v>
      </c>
      <c r="P70" s="42">
        <f t="shared" si="32"/>
        <v>20368.79</v>
      </c>
      <c r="Q70" s="42">
        <f t="shared" si="32"/>
        <v>0</v>
      </c>
      <c r="R70" s="42">
        <f t="shared" si="32"/>
        <v>0</v>
      </c>
      <c r="S70" s="42">
        <f t="shared" si="32"/>
        <v>1394.9599999999998</v>
      </c>
      <c r="T70" s="42">
        <f t="shared" si="32"/>
        <v>3.0000000000000006E-2</v>
      </c>
      <c r="U70" s="42">
        <f t="shared" si="32"/>
        <v>0</v>
      </c>
      <c r="V70" s="42">
        <f t="shared" si="32"/>
        <v>0</v>
      </c>
      <c r="W70" s="42">
        <f t="shared" si="32"/>
        <v>1394.9899999999998</v>
      </c>
      <c r="X70" s="42">
        <f t="shared" si="32"/>
        <v>18973.8</v>
      </c>
      <c r="Y70" s="42">
        <f t="shared" si="32"/>
        <v>1714.97</v>
      </c>
      <c r="Z70" s="42">
        <f t="shared" si="32"/>
        <v>0</v>
      </c>
      <c r="AA70" s="42">
        <f t="shared" si="32"/>
        <v>0</v>
      </c>
      <c r="AB70" s="42">
        <f t="shared" si="32"/>
        <v>1714.97</v>
      </c>
    </row>
    <row r="71" spans="1:28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65"/>
      <c r="Y71" s="1"/>
      <c r="Z71" s="1"/>
      <c r="AA71" s="1"/>
      <c r="AB71" s="1"/>
    </row>
    <row r="72" spans="1:28" ht="18.75" x14ac:dyDescent="0.3">
      <c r="A72" s="1"/>
      <c r="B72" s="1"/>
      <c r="C72" s="66" t="s">
        <v>162</v>
      </c>
      <c r="D72" s="1"/>
      <c r="E72" s="67">
        <f>E9+E25+E32+E53+E62+E70</f>
        <v>339709.92999999993</v>
      </c>
      <c r="F72" s="67">
        <f t="shared" ref="F72:AB72" si="33">F9+F25+F32+F53+F62+F70</f>
        <v>0</v>
      </c>
      <c r="G72" s="67">
        <f t="shared" si="33"/>
        <v>35466.449999999997</v>
      </c>
      <c r="H72" s="67" t="e">
        <f t="shared" si="33"/>
        <v>#REF!</v>
      </c>
      <c r="I72" s="67">
        <f t="shared" si="33"/>
        <v>9591.44</v>
      </c>
      <c r="J72" s="67">
        <f t="shared" si="33"/>
        <v>4695.17</v>
      </c>
      <c r="K72" s="67">
        <f t="shared" si="33"/>
        <v>199.13</v>
      </c>
      <c r="L72" s="67">
        <f t="shared" si="33"/>
        <v>1375.93</v>
      </c>
      <c r="M72" s="67">
        <f t="shared" si="33"/>
        <v>37.35</v>
      </c>
      <c r="N72" s="67">
        <f t="shared" si="33"/>
        <v>106.12999999999998</v>
      </c>
      <c r="O72" s="67">
        <f t="shared" si="33"/>
        <v>0</v>
      </c>
      <c r="P72" s="67">
        <f t="shared" si="33"/>
        <v>339603.79999999993</v>
      </c>
      <c r="Q72" s="67">
        <f t="shared" si="33"/>
        <v>0</v>
      </c>
      <c r="R72" s="67">
        <f t="shared" si="33"/>
        <v>0</v>
      </c>
      <c r="S72" s="67">
        <f t="shared" si="33"/>
        <v>42635.560000000005</v>
      </c>
      <c r="T72" s="67">
        <f t="shared" si="33"/>
        <v>1.0999999999999999</v>
      </c>
      <c r="U72" s="67">
        <f t="shared" si="33"/>
        <v>34889.469999999994</v>
      </c>
      <c r="V72" s="67">
        <f t="shared" si="33"/>
        <v>200</v>
      </c>
      <c r="W72" s="67">
        <f t="shared" si="33"/>
        <v>129091.59999999999</v>
      </c>
      <c r="X72" s="67">
        <f t="shared" si="33"/>
        <v>210512.2</v>
      </c>
      <c r="Y72" s="67">
        <f t="shared" si="33"/>
        <v>19770.440000000002</v>
      </c>
      <c r="Z72" s="67">
        <f t="shared" si="33"/>
        <v>62194.360000000008</v>
      </c>
      <c r="AA72" s="67">
        <f t="shared" si="33"/>
        <v>6067.7399999999989</v>
      </c>
      <c r="AB72" s="67">
        <f t="shared" si="33"/>
        <v>88032.540000000008</v>
      </c>
    </row>
    <row r="73" spans="1:28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4"/>
      <c r="Y73" s="68"/>
      <c r="Z73" s="68"/>
      <c r="AA73" s="1"/>
      <c r="AB73" s="1"/>
    </row>
    <row r="74" spans="1:28" ht="15.75" x14ac:dyDescent="0.25">
      <c r="A74" s="1"/>
      <c r="B74" s="1"/>
      <c r="C74" t="s">
        <v>163</v>
      </c>
      <c r="D74" s="1"/>
      <c r="E74" s="3">
        <f>E7+E8+E12+E13+E14+E15+E17+E18+E19+E20+E21+E22+E23+E24+E28+E29+E30+E31+E36+E37+E38+E39+E40+E41+E42+E43+E44+E46+E47+E48+E49+E50+E51+E52+E57+E58+E59+E60+E61</f>
        <v>303386.83000000007</v>
      </c>
      <c r="F74" s="3">
        <f>E74*17.5%</f>
        <v>53092.695250000012</v>
      </c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69"/>
      <c r="Y74" s="1"/>
      <c r="Z74" s="3"/>
      <c r="AA74" s="1"/>
      <c r="AB74" s="1"/>
    </row>
    <row r="75" spans="1:28" ht="15.75" x14ac:dyDescent="0.25">
      <c r="A75" s="1"/>
      <c r="B75" s="1"/>
      <c r="C75" t="s">
        <v>164</v>
      </c>
      <c r="D75" s="1"/>
      <c r="E75" s="3">
        <f>E74</f>
        <v>303386.83000000007</v>
      </c>
      <c r="F75" s="3">
        <f>E75*3%</f>
        <v>9101.6049000000021</v>
      </c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1"/>
      <c r="Z75" s="1"/>
      <c r="AA75" s="1"/>
      <c r="AB75" s="1"/>
    </row>
    <row r="76" spans="1:28" ht="15.75" x14ac:dyDescent="0.25">
      <c r="A76" s="1"/>
      <c r="B76" s="1"/>
      <c r="C76" s="1"/>
      <c r="D76" s="1"/>
      <c r="E76" s="1"/>
      <c r="F76" s="3">
        <f>SUM(F74:F75)</f>
        <v>62194.30015000001</v>
      </c>
      <c r="G76" s="3"/>
      <c r="H76" s="1"/>
      <c r="I76" s="1"/>
      <c r="J76" s="1"/>
      <c r="K76" s="1"/>
      <c r="L76" s="1"/>
      <c r="M76" s="1"/>
      <c r="N76" s="53"/>
      <c r="O76" s="1"/>
      <c r="P76" s="1"/>
      <c r="Q76" s="1"/>
      <c r="R76" s="1"/>
      <c r="S76" s="1"/>
      <c r="T76" s="1"/>
      <c r="U76" s="1"/>
      <c r="V76" s="1"/>
      <c r="W76" s="1"/>
      <c r="X76" s="2"/>
      <c r="Y76" s="1"/>
      <c r="Z76" s="1"/>
      <c r="AA76" s="1"/>
      <c r="AB76" s="1"/>
    </row>
    <row r="77" spans="1:28" ht="15.75" x14ac:dyDescent="0.25">
      <c r="A77" s="1"/>
      <c r="B77" s="1"/>
      <c r="C77" s="1"/>
      <c r="D77" s="1"/>
      <c r="E77" s="1"/>
      <c r="F77" s="3"/>
      <c r="G77" s="3"/>
      <c r="H77" s="1"/>
      <c r="I77" s="1"/>
      <c r="J77" s="1"/>
      <c r="K77" s="1"/>
      <c r="L77" s="1"/>
      <c r="M77" s="1"/>
      <c r="N77" s="53"/>
      <c r="O77" s="1"/>
      <c r="P77" s="1"/>
      <c r="Q77" s="1"/>
      <c r="R77" s="1"/>
      <c r="S77" s="1"/>
      <c r="T77" s="1"/>
      <c r="U77" s="1"/>
      <c r="V77" s="1"/>
      <c r="W77" s="1"/>
      <c r="X77" s="2"/>
      <c r="Y77" s="1"/>
      <c r="Z77" s="1"/>
      <c r="AA77" s="1"/>
      <c r="AB77" s="1"/>
    </row>
    <row r="78" spans="1:28" ht="15.75" x14ac:dyDescent="0.25">
      <c r="A78" s="1"/>
      <c r="B78" s="1"/>
      <c r="C78" s="1"/>
      <c r="D78" s="1"/>
      <c r="E78" s="1"/>
      <c r="F78" s="3"/>
      <c r="G78" s="3"/>
      <c r="H78" s="1"/>
      <c r="I78" s="1"/>
      <c r="J78" s="1"/>
      <c r="K78" s="1"/>
      <c r="L78" s="1"/>
      <c r="M78" s="1"/>
      <c r="N78" s="53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1"/>
      <c r="AA78" s="1"/>
      <c r="AB78" s="1"/>
    </row>
    <row r="79" spans="1:28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1"/>
      <c r="AA79" s="1"/>
      <c r="AB79" s="1"/>
    </row>
    <row r="80" spans="1:28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1"/>
      <c r="Z80" s="1"/>
      <c r="AA80" s="1"/>
      <c r="AB80" s="1"/>
    </row>
    <row r="81" spans="1:28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1"/>
      <c r="Z81" s="1"/>
      <c r="AA81" s="1"/>
      <c r="AB81" s="1"/>
    </row>
    <row r="82" spans="1:28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1"/>
      <c r="Z82" s="1"/>
      <c r="AA82" s="1"/>
      <c r="AB82" s="1"/>
    </row>
    <row r="83" spans="1:28" ht="16.5" thickBot="1" x14ac:dyDescent="0.3">
      <c r="A83" s="1"/>
      <c r="B83" s="1"/>
      <c r="C83" s="1"/>
      <c r="D83" s="1"/>
      <c r="E83" s="80"/>
      <c r="F83" s="80"/>
      <c r="G83" s="77"/>
      <c r="H83" s="77"/>
      <c r="I83" s="77"/>
      <c r="J83" s="77"/>
      <c r="K83" s="77"/>
      <c r="L83" s="77"/>
      <c r="M83" s="77"/>
      <c r="N83" s="1"/>
      <c r="O83" s="1"/>
      <c r="P83" s="1"/>
      <c r="Q83" s="1"/>
      <c r="R83" s="1"/>
      <c r="S83" s="1"/>
      <c r="T83" s="1"/>
      <c r="U83" s="81"/>
      <c r="V83" s="81"/>
      <c r="W83" s="81"/>
      <c r="X83" s="2"/>
      <c r="Y83" s="1"/>
      <c r="Z83" s="1"/>
      <c r="AA83" s="1"/>
      <c r="AB83" s="1"/>
    </row>
    <row r="84" spans="1:28" x14ac:dyDescent="0.25">
      <c r="A84" s="1"/>
      <c r="B84" s="1"/>
      <c r="C84" s="1"/>
      <c r="D84" s="1"/>
      <c r="E84" s="82" t="s">
        <v>165</v>
      </c>
      <c r="F84" s="81"/>
      <c r="G84" s="77"/>
      <c r="H84" s="77"/>
      <c r="I84" s="77"/>
      <c r="J84" s="77"/>
      <c r="K84" s="77"/>
      <c r="L84" s="77"/>
      <c r="M84" s="77"/>
      <c r="N84" s="1"/>
      <c r="O84" s="1"/>
      <c r="P84" s="1"/>
      <c r="Q84" s="1"/>
      <c r="R84" s="1"/>
      <c r="S84" s="1"/>
      <c r="T84" s="1"/>
      <c r="U84" s="1"/>
      <c r="V84" s="1"/>
      <c r="W84" s="1"/>
      <c r="X84" s="83" t="s">
        <v>166</v>
      </c>
      <c r="Y84" s="83"/>
      <c r="Z84" s="77"/>
      <c r="AA84" s="1"/>
      <c r="AB84" s="1"/>
    </row>
    <row r="85" spans="1:28" ht="15.75" x14ac:dyDescent="0.25">
      <c r="A85" s="1"/>
      <c r="B85" s="1"/>
      <c r="C85" s="1"/>
      <c r="D85" s="1"/>
      <c r="E85" s="44" t="s">
        <v>49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 t="s">
        <v>167</v>
      </c>
      <c r="Y85" s="1"/>
      <c r="Z85" s="1"/>
      <c r="AA85" s="1"/>
      <c r="AB85" s="1"/>
    </row>
    <row r="86" spans="1:28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1"/>
      <c r="Z86" s="1"/>
      <c r="AA86" s="1"/>
      <c r="AB86" s="1"/>
    </row>
    <row r="87" spans="1:28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1"/>
      <c r="Z87" s="1"/>
      <c r="AA87" s="1"/>
      <c r="AB87" s="1"/>
    </row>
    <row r="88" spans="1:28" ht="15.75" x14ac:dyDescent="0.25">
      <c r="A88" s="1"/>
      <c r="B88" s="1"/>
      <c r="C88" s="1" t="s">
        <v>168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1"/>
      <c r="Z88" s="1"/>
      <c r="AA88" s="1"/>
      <c r="AB88" s="1"/>
    </row>
  </sheetData>
  <mergeCells count="5">
    <mergeCell ref="B4:AB4"/>
    <mergeCell ref="E83:F83"/>
    <mergeCell ref="U83:W83"/>
    <mergeCell ref="E84:F84"/>
    <mergeCell ref="X84:Y8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workbookViewId="0">
      <selection sqref="A1:P81"/>
    </sheetView>
  </sheetViews>
  <sheetFormatPr baseColWidth="10" defaultRowHeight="15" x14ac:dyDescent="0.25"/>
  <sheetData>
    <row r="1" spans="1:1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</row>
    <row r="3" spans="1:16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</row>
    <row r="4" spans="1:16" ht="18.75" x14ac:dyDescent="0.25">
      <c r="A4" s="1"/>
      <c r="B4" s="78" t="s">
        <v>169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ht="56.25" x14ac:dyDescent="0.25">
      <c r="A5" s="5"/>
      <c r="B5" s="6" t="s">
        <v>1</v>
      </c>
      <c r="C5" s="7" t="s">
        <v>2</v>
      </c>
      <c r="D5" s="8" t="s">
        <v>3</v>
      </c>
      <c r="E5" s="9" t="s">
        <v>170</v>
      </c>
      <c r="F5" s="10" t="s">
        <v>5</v>
      </c>
      <c r="G5" s="12" t="s">
        <v>7</v>
      </c>
      <c r="H5" s="15" t="s">
        <v>171</v>
      </c>
      <c r="I5" s="8" t="s">
        <v>14</v>
      </c>
      <c r="J5" s="8" t="s">
        <v>15</v>
      </c>
      <c r="K5" s="16" t="s">
        <v>16</v>
      </c>
      <c r="L5" s="10" t="s">
        <v>17</v>
      </c>
      <c r="M5" s="10" t="s">
        <v>18</v>
      </c>
      <c r="N5" s="17" t="s">
        <v>19</v>
      </c>
      <c r="O5" s="20" t="s">
        <v>22</v>
      </c>
      <c r="P5" s="21" t="s">
        <v>23</v>
      </c>
    </row>
    <row r="6" spans="1:16" ht="15.75" x14ac:dyDescent="0.25">
      <c r="A6" s="1"/>
      <c r="B6" s="23" t="s">
        <v>28</v>
      </c>
      <c r="C6" s="24" t="s">
        <v>29</v>
      </c>
      <c r="D6" s="24"/>
      <c r="E6" s="25"/>
      <c r="F6" s="3"/>
      <c r="G6" s="3"/>
      <c r="H6" s="25"/>
      <c r="I6" s="25"/>
      <c r="J6" s="25"/>
      <c r="K6" s="3"/>
      <c r="L6" s="3"/>
      <c r="M6" s="3"/>
      <c r="N6" s="25"/>
      <c r="O6" s="25"/>
      <c r="P6" s="4"/>
    </row>
    <row r="7" spans="1:16" ht="21" x14ac:dyDescent="0.35">
      <c r="A7" s="1"/>
      <c r="B7" s="1" t="s">
        <v>30</v>
      </c>
      <c r="C7" s="2" t="s">
        <v>31</v>
      </c>
      <c r="D7" s="1" t="s">
        <v>32</v>
      </c>
      <c r="E7" s="3"/>
      <c r="F7" s="70"/>
      <c r="G7" s="3"/>
      <c r="H7" s="3"/>
      <c r="I7" s="3"/>
      <c r="J7" s="3">
        <f>E7+-H7</f>
        <v>0</v>
      </c>
      <c r="K7" s="3">
        <v>0</v>
      </c>
      <c r="L7" s="3"/>
      <c r="M7" s="3"/>
      <c r="N7" s="3"/>
      <c r="O7" s="3">
        <f>SUM(M7:N7)</f>
        <v>0</v>
      </c>
      <c r="P7" s="72">
        <f>J7-O7</f>
        <v>0</v>
      </c>
    </row>
    <row r="8" spans="1:16" ht="21" x14ac:dyDescent="0.35">
      <c r="A8" s="1"/>
      <c r="B8" s="44" t="s">
        <v>33</v>
      </c>
      <c r="C8" s="2" t="s">
        <v>34</v>
      </c>
      <c r="D8" s="1" t="s">
        <v>35</v>
      </c>
      <c r="E8" s="3">
        <v>4200</v>
      </c>
      <c r="F8" s="70">
        <v>365</v>
      </c>
      <c r="G8" s="3"/>
      <c r="H8" s="51"/>
      <c r="I8" s="3"/>
      <c r="J8" s="3">
        <f>E8/365*F8</f>
        <v>4200</v>
      </c>
      <c r="K8" s="3">
        <v>0</v>
      </c>
      <c r="L8" s="3"/>
      <c r="M8" s="3">
        <v>897.12</v>
      </c>
      <c r="N8" s="3">
        <v>-0.12</v>
      </c>
      <c r="O8" s="3">
        <f>SUM(M8:N8)</f>
        <v>897</v>
      </c>
      <c r="P8" s="33">
        <f>J8-O8</f>
        <v>3303</v>
      </c>
    </row>
    <row r="9" spans="1:16" ht="18.75" x14ac:dyDescent="0.3">
      <c r="A9" s="1"/>
      <c r="B9" s="39" t="s">
        <v>36</v>
      </c>
      <c r="C9" s="40"/>
      <c r="D9" s="41"/>
      <c r="E9" s="42">
        <f>SUM(E7:E8)</f>
        <v>4200</v>
      </c>
      <c r="F9" s="42"/>
      <c r="G9" s="42"/>
      <c r="H9" s="42">
        <f t="shared" ref="H9:P9" si="0">SUM(H7:H8)</f>
        <v>0</v>
      </c>
      <c r="I9" s="42">
        <f t="shared" si="0"/>
        <v>0</v>
      </c>
      <c r="J9" s="42">
        <f t="shared" si="0"/>
        <v>4200</v>
      </c>
      <c r="K9" s="42">
        <f t="shared" si="0"/>
        <v>0</v>
      </c>
      <c r="L9" s="42">
        <f t="shared" si="0"/>
        <v>0</v>
      </c>
      <c r="M9" s="42">
        <f t="shared" si="0"/>
        <v>897.12</v>
      </c>
      <c r="N9" s="42">
        <f t="shared" si="0"/>
        <v>-0.12</v>
      </c>
      <c r="O9" s="42">
        <f t="shared" si="0"/>
        <v>897</v>
      </c>
      <c r="P9" s="42">
        <f t="shared" si="0"/>
        <v>3303</v>
      </c>
    </row>
    <row r="10" spans="1:16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3"/>
    </row>
    <row r="11" spans="1:16" ht="18.75" x14ac:dyDescent="0.3">
      <c r="A11" s="1"/>
      <c r="B11" s="23" t="s">
        <v>37</v>
      </c>
      <c r="C11" s="40" t="s">
        <v>38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43"/>
    </row>
    <row r="12" spans="1:16" ht="21" x14ac:dyDescent="0.35">
      <c r="A12" s="1"/>
      <c r="B12" s="1" t="s">
        <v>39</v>
      </c>
      <c r="C12" s="2" t="s">
        <v>40</v>
      </c>
      <c r="D12" s="1" t="s">
        <v>172</v>
      </c>
      <c r="E12" s="3"/>
      <c r="F12" s="70"/>
      <c r="G12" s="3"/>
      <c r="H12" s="3"/>
      <c r="I12" s="3"/>
      <c r="J12" s="3">
        <f>E12+-H12</f>
        <v>0</v>
      </c>
      <c r="K12" s="3">
        <v>0</v>
      </c>
      <c r="L12" s="3"/>
      <c r="M12" s="3"/>
      <c r="N12" s="3"/>
      <c r="O12" s="3">
        <f>SUM(M12:N12)</f>
        <v>0</v>
      </c>
      <c r="P12" s="72">
        <f t="shared" ref="P12:P23" si="1">J12-O12</f>
        <v>0</v>
      </c>
    </row>
    <row r="13" spans="1:16" ht="21" x14ac:dyDescent="0.35">
      <c r="A13" s="1"/>
      <c r="B13" s="1" t="s">
        <v>42</v>
      </c>
      <c r="C13" s="2" t="s">
        <v>173</v>
      </c>
      <c r="D13" s="1" t="s">
        <v>46</v>
      </c>
      <c r="E13" s="3"/>
      <c r="F13" s="70"/>
      <c r="G13" s="3"/>
      <c r="H13" s="49"/>
      <c r="I13" s="73"/>
      <c r="J13" s="3">
        <f>E13+-H13</f>
        <v>0</v>
      </c>
      <c r="K13" s="3">
        <v>0</v>
      </c>
      <c r="L13" s="3"/>
      <c r="M13" s="3"/>
      <c r="N13" s="3"/>
      <c r="O13" s="3">
        <f t="shared" ref="O13:O23" si="2">SUM(M13:N13)</f>
        <v>0</v>
      </c>
      <c r="P13" s="33">
        <f t="shared" si="1"/>
        <v>0</v>
      </c>
    </row>
    <row r="14" spans="1:16" ht="21" x14ac:dyDescent="0.35">
      <c r="A14" s="1"/>
      <c r="B14" s="1" t="s">
        <v>47</v>
      </c>
      <c r="C14" s="2" t="s">
        <v>48</v>
      </c>
      <c r="D14" s="1" t="s">
        <v>174</v>
      </c>
      <c r="E14" s="3"/>
      <c r="F14" s="70"/>
      <c r="G14" s="3"/>
      <c r="H14" s="49"/>
      <c r="I14" s="73"/>
      <c r="J14" s="3">
        <f>E14/365*F14</f>
        <v>0</v>
      </c>
      <c r="K14" s="3">
        <v>0</v>
      </c>
      <c r="L14" s="3"/>
      <c r="M14" s="3"/>
      <c r="N14" s="3"/>
      <c r="O14" s="3">
        <f t="shared" si="2"/>
        <v>0</v>
      </c>
      <c r="P14" s="33">
        <f t="shared" si="1"/>
        <v>0</v>
      </c>
    </row>
    <row r="15" spans="1:16" ht="21" x14ac:dyDescent="0.35">
      <c r="A15" s="1"/>
      <c r="B15" s="1" t="s">
        <v>50</v>
      </c>
      <c r="C15" s="2" t="s">
        <v>51</v>
      </c>
      <c r="D15" s="1" t="s">
        <v>52</v>
      </c>
      <c r="E15" s="3">
        <v>4200</v>
      </c>
      <c r="F15" s="70">
        <v>332</v>
      </c>
      <c r="G15" s="3"/>
      <c r="H15" s="49">
        <f>7+15+11</f>
        <v>33</v>
      </c>
      <c r="I15" s="3"/>
      <c r="J15" s="3">
        <f t="shared" ref="J15:J23" si="3">E15/365*F15</f>
        <v>3820.2739726027398</v>
      </c>
      <c r="K15" s="3">
        <v>0</v>
      </c>
      <c r="L15" s="3"/>
      <c r="M15" s="3">
        <v>684.59</v>
      </c>
      <c r="N15" s="3">
        <v>-0.12</v>
      </c>
      <c r="O15" s="3">
        <f t="shared" si="2"/>
        <v>684.47</v>
      </c>
      <c r="P15" s="33">
        <f t="shared" si="1"/>
        <v>3135.80397260274</v>
      </c>
    </row>
    <row r="16" spans="1:16" ht="21" x14ac:dyDescent="0.35">
      <c r="A16" s="1"/>
      <c r="B16" t="s">
        <v>53</v>
      </c>
      <c r="C16" s="2" t="s">
        <v>54</v>
      </c>
      <c r="D16" t="s">
        <v>55</v>
      </c>
      <c r="E16" s="3">
        <v>4200</v>
      </c>
      <c r="F16" s="70">
        <v>365</v>
      </c>
      <c r="G16" s="3"/>
      <c r="H16" s="51"/>
      <c r="I16" s="3"/>
      <c r="J16" s="3">
        <f t="shared" si="3"/>
        <v>4200</v>
      </c>
      <c r="K16" s="3"/>
      <c r="L16" s="3"/>
      <c r="M16" s="3">
        <v>752.64</v>
      </c>
      <c r="N16" s="3">
        <v>0.16</v>
      </c>
      <c r="O16" s="3">
        <f t="shared" si="2"/>
        <v>752.8</v>
      </c>
      <c r="P16" s="33">
        <f t="shared" si="1"/>
        <v>3447.2</v>
      </c>
    </row>
    <row r="17" spans="1:16" ht="21" x14ac:dyDescent="0.35">
      <c r="A17" s="1"/>
      <c r="B17" s="1" t="s">
        <v>56</v>
      </c>
      <c r="C17" s="2" t="s">
        <v>57</v>
      </c>
      <c r="D17" s="1" t="s">
        <v>58</v>
      </c>
      <c r="E17" s="3">
        <v>4200</v>
      </c>
      <c r="F17" s="70">
        <v>363</v>
      </c>
      <c r="G17" s="3"/>
      <c r="H17" s="51">
        <f>1+1</f>
        <v>2</v>
      </c>
      <c r="I17" s="3"/>
      <c r="J17" s="3">
        <f t="shared" si="3"/>
        <v>4176.9863013698632</v>
      </c>
      <c r="K17" s="3"/>
      <c r="L17" s="3"/>
      <c r="M17" s="3">
        <v>668.32</v>
      </c>
      <c r="N17" s="3">
        <v>7.0000000000000007E-2</v>
      </c>
      <c r="O17" s="3">
        <f t="shared" si="2"/>
        <v>668.3900000000001</v>
      </c>
      <c r="P17" s="33">
        <f t="shared" si="1"/>
        <v>3508.5963013698629</v>
      </c>
    </row>
    <row r="18" spans="1:16" ht="21" x14ac:dyDescent="0.35">
      <c r="A18" s="1"/>
      <c r="B18" s="1" t="s">
        <v>59</v>
      </c>
      <c r="C18" s="2" t="s">
        <v>60</v>
      </c>
      <c r="D18" s="1" t="s">
        <v>61</v>
      </c>
      <c r="E18" s="3">
        <v>4200</v>
      </c>
      <c r="F18" s="70">
        <v>365</v>
      </c>
      <c r="G18" s="51"/>
      <c r="H18" s="49"/>
      <c r="I18" s="3"/>
      <c r="J18" s="3">
        <v>4200</v>
      </c>
      <c r="K18" s="3"/>
      <c r="L18" s="3"/>
      <c r="M18" s="3">
        <v>752.64</v>
      </c>
      <c r="N18" s="3">
        <v>-0.04</v>
      </c>
      <c r="O18" s="3">
        <f t="shared" si="2"/>
        <v>752.6</v>
      </c>
      <c r="P18" s="33">
        <f t="shared" si="1"/>
        <v>3447.4</v>
      </c>
    </row>
    <row r="19" spans="1:16" ht="21" x14ac:dyDescent="0.35">
      <c r="A19" s="1"/>
      <c r="B19" t="s">
        <v>62</v>
      </c>
      <c r="C19" s="2" t="s">
        <v>63</v>
      </c>
      <c r="D19" t="s">
        <v>58</v>
      </c>
      <c r="E19" s="3">
        <v>4200</v>
      </c>
      <c r="F19" s="70">
        <v>364</v>
      </c>
      <c r="G19" s="3"/>
      <c r="H19" s="51">
        <v>1</v>
      </c>
      <c r="I19" s="3"/>
      <c r="J19" s="3">
        <f t="shared" si="3"/>
        <v>4188.4931506849316</v>
      </c>
      <c r="K19" s="3"/>
      <c r="L19" s="3"/>
      <c r="M19" s="3">
        <v>670.16</v>
      </c>
      <c r="N19" s="3">
        <v>0.13</v>
      </c>
      <c r="O19" s="3">
        <f t="shared" si="2"/>
        <v>670.29</v>
      </c>
      <c r="P19" s="33">
        <f t="shared" si="1"/>
        <v>3518.2031506849316</v>
      </c>
    </row>
    <row r="20" spans="1:16" ht="21" x14ac:dyDescent="0.35">
      <c r="A20" s="1"/>
      <c r="B20" t="s">
        <v>64</v>
      </c>
      <c r="C20" s="2" t="s">
        <v>65</v>
      </c>
      <c r="D20" t="s">
        <v>66</v>
      </c>
      <c r="E20" s="3">
        <v>4200</v>
      </c>
      <c r="F20" s="70">
        <v>365</v>
      </c>
      <c r="G20" s="51"/>
      <c r="H20" s="49"/>
      <c r="I20" s="3"/>
      <c r="J20" s="3">
        <f t="shared" si="3"/>
        <v>4200</v>
      </c>
      <c r="K20" s="3"/>
      <c r="L20" s="3"/>
      <c r="M20" s="3">
        <v>725.18</v>
      </c>
      <c r="N20" s="3">
        <v>0.02</v>
      </c>
      <c r="O20" s="3">
        <f t="shared" si="2"/>
        <v>725.19999999999993</v>
      </c>
      <c r="P20" s="33">
        <f t="shared" si="1"/>
        <v>3474.8</v>
      </c>
    </row>
    <row r="21" spans="1:16" ht="21" x14ac:dyDescent="0.35">
      <c r="A21" s="1"/>
      <c r="B21" t="s">
        <v>67</v>
      </c>
      <c r="C21" s="2" t="s">
        <v>68</v>
      </c>
      <c r="D21" t="s">
        <v>69</v>
      </c>
      <c r="E21" s="3">
        <v>4200</v>
      </c>
      <c r="F21" s="70">
        <v>334</v>
      </c>
      <c r="G21" s="3"/>
      <c r="H21" s="51"/>
      <c r="I21" s="3"/>
      <c r="J21" s="3">
        <f t="shared" si="3"/>
        <v>3843.2876712328766</v>
      </c>
      <c r="K21" s="3"/>
      <c r="L21" s="3"/>
      <c r="M21" s="3">
        <v>820.93</v>
      </c>
      <c r="N21" s="3">
        <v>0.16</v>
      </c>
      <c r="O21" s="3">
        <f t="shared" si="2"/>
        <v>821.08999999999992</v>
      </c>
      <c r="P21" s="33">
        <f t="shared" si="1"/>
        <v>3022.1976712328769</v>
      </c>
    </row>
    <row r="22" spans="1:16" ht="21" x14ac:dyDescent="0.35">
      <c r="A22" s="1"/>
      <c r="B22" t="s">
        <v>70</v>
      </c>
      <c r="C22" s="2" t="s">
        <v>71</v>
      </c>
      <c r="D22" t="s">
        <v>175</v>
      </c>
      <c r="E22" s="3">
        <v>4200</v>
      </c>
      <c r="F22" s="70">
        <v>312</v>
      </c>
      <c r="G22" s="3"/>
      <c r="H22" s="51"/>
      <c r="I22" s="3"/>
      <c r="J22" s="3">
        <f t="shared" si="3"/>
        <v>3590.1369863013697</v>
      </c>
      <c r="K22" s="3"/>
      <c r="L22" s="3"/>
      <c r="M22" s="3">
        <v>766.85</v>
      </c>
      <c r="N22" s="3">
        <v>-0.11</v>
      </c>
      <c r="O22" s="3">
        <f t="shared" si="2"/>
        <v>766.74</v>
      </c>
      <c r="P22" s="33">
        <f t="shared" si="1"/>
        <v>2823.3969863013699</v>
      </c>
    </row>
    <row r="23" spans="1:16" ht="21" x14ac:dyDescent="0.35">
      <c r="A23" s="1"/>
      <c r="B23" t="s">
        <v>73</v>
      </c>
      <c r="C23" s="2" t="s">
        <v>74</v>
      </c>
      <c r="D23" t="s">
        <v>69</v>
      </c>
      <c r="E23" s="3">
        <v>4200</v>
      </c>
      <c r="F23" s="70">
        <v>242</v>
      </c>
      <c r="G23" s="3"/>
      <c r="H23" s="51"/>
      <c r="I23" s="3"/>
      <c r="J23" s="3">
        <f t="shared" si="3"/>
        <v>2784.6575342465753</v>
      </c>
      <c r="K23" s="3"/>
      <c r="L23" s="3"/>
      <c r="M23" s="3">
        <v>458.27</v>
      </c>
      <c r="N23" s="3">
        <v>0.19</v>
      </c>
      <c r="O23" s="3">
        <f t="shared" si="2"/>
        <v>458.46</v>
      </c>
      <c r="P23" s="33">
        <f t="shared" si="1"/>
        <v>2326.1975342465753</v>
      </c>
    </row>
    <row r="24" spans="1:16" ht="18.75" x14ac:dyDescent="0.3">
      <c r="A24" s="1"/>
      <c r="B24" s="23" t="s">
        <v>36</v>
      </c>
      <c r="C24" s="40"/>
      <c r="D24" s="41"/>
      <c r="E24" s="42">
        <f>SUM(E12:E23)</f>
        <v>37800</v>
      </c>
      <c r="F24" s="42"/>
      <c r="G24" s="42"/>
      <c r="H24" s="42">
        <f>SUM(H12:H23)</f>
        <v>36</v>
      </c>
      <c r="I24" s="42">
        <f>SUM(I12:I20)</f>
        <v>0</v>
      </c>
      <c r="J24" s="42">
        <f>SUM(J12:L23)</f>
        <v>35003.835616438351</v>
      </c>
      <c r="K24" s="42">
        <f>SUM(K12:M23)</f>
        <v>6299.58</v>
      </c>
      <c r="L24" s="42">
        <f>SUM(L12:N23)</f>
        <v>6300.0400000000018</v>
      </c>
      <c r="M24" s="42">
        <f>SUM(M12:M23)</f>
        <v>6299.58</v>
      </c>
      <c r="N24" s="42">
        <f>SUM(N12:N23)</f>
        <v>0.46</v>
      </c>
      <c r="O24" s="42">
        <f>SUM(O12:O23)</f>
        <v>6300.04</v>
      </c>
      <c r="P24" s="42">
        <f>SUM(P12:P23)</f>
        <v>28703.795616438354</v>
      </c>
    </row>
    <row r="25" spans="1:16" ht="18.75" x14ac:dyDescent="0.3">
      <c r="A25" s="1"/>
      <c r="B25" s="23"/>
      <c r="C25" s="2"/>
      <c r="D25" s="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43"/>
    </row>
    <row r="26" spans="1:16" ht="18.75" x14ac:dyDescent="0.3">
      <c r="A26" s="1"/>
      <c r="B26" s="23" t="s">
        <v>75</v>
      </c>
      <c r="C26" s="40" t="s">
        <v>76</v>
      </c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43"/>
    </row>
    <row r="27" spans="1:16" ht="21" x14ac:dyDescent="0.35">
      <c r="A27" s="1"/>
      <c r="B27" s="1" t="s">
        <v>77</v>
      </c>
      <c r="C27" s="2" t="s">
        <v>78</v>
      </c>
      <c r="D27" t="s">
        <v>79</v>
      </c>
      <c r="E27" s="3">
        <v>4200</v>
      </c>
      <c r="F27" s="70">
        <v>365</v>
      </c>
      <c r="G27" s="3"/>
      <c r="H27" s="74"/>
      <c r="I27" s="3"/>
      <c r="J27" s="3">
        <f>E27/365*F27</f>
        <v>4200</v>
      </c>
      <c r="K27" s="3">
        <v>0</v>
      </c>
      <c r="L27" s="3"/>
      <c r="M27" s="3">
        <v>897.12</v>
      </c>
      <c r="N27" s="3">
        <v>0.08</v>
      </c>
      <c r="O27" s="3">
        <f>SUM(M27:N27)</f>
        <v>897.2</v>
      </c>
      <c r="P27" s="33">
        <f>J27-O27</f>
        <v>3302.8</v>
      </c>
    </row>
    <row r="28" spans="1:16" ht="21" x14ac:dyDescent="0.35">
      <c r="A28" s="1"/>
      <c r="B28" s="1" t="s">
        <v>80</v>
      </c>
      <c r="C28" s="2" t="s">
        <v>81</v>
      </c>
      <c r="D28" t="s">
        <v>93</v>
      </c>
      <c r="E28" s="3">
        <v>4200</v>
      </c>
      <c r="F28" s="70">
        <v>351</v>
      </c>
      <c r="G28" s="3"/>
      <c r="H28" s="51">
        <f>12+2</f>
        <v>14</v>
      </c>
      <c r="I28" s="3"/>
      <c r="J28" s="3">
        <f t="shared" ref="J28" si="4">E28/365*F28</f>
        <v>4038.9041095890411</v>
      </c>
      <c r="K28" s="3"/>
      <c r="L28" s="3"/>
      <c r="M28" s="3">
        <v>862.71</v>
      </c>
      <c r="N28" s="3">
        <v>0.19</v>
      </c>
      <c r="O28" s="3">
        <f t="shared" ref="O28" si="5">SUM(M28:N28)</f>
        <v>862.90000000000009</v>
      </c>
      <c r="P28" s="33">
        <f t="shared" ref="P28" si="6">J28-O28</f>
        <v>3176.004109589041</v>
      </c>
    </row>
    <row r="29" spans="1:16" ht="21" x14ac:dyDescent="0.35">
      <c r="A29" s="1"/>
      <c r="B29" s="1" t="s">
        <v>83</v>
      </c>
      <c r="C29" s="2" t="s">
        <v>84</v>
      </c>
      <c r="D29" s="1" t="s">
        <v>85</v>
      </c>
      <c r="E29" s="3">
        <v>4200</v>
      </c>
      <c r="F29" s="70">
        <v>365</v>
      </c>
      <c r="G29" s="3"/>
      <c r="H29" s="75"/>
      <c r="I29" s="3"/>
      <c r="J29" s="3">
        <f>E29/365*F29</f>
        <v>4200</v>
      </c>
      <c r="K29" s="3">
        <v>0</v>
      </c>
      <c r="L29" s="3"/>
      <c r="M29" s="3">
        <v>897.12</v>
      </c>
      <c r="N29" s="3">
        <v>0.08</v>
      </c>
      <c r="O29" s="3">
        <f>SUM(M29:N29)</f>
        <v>897.2</v>
      </c>
      <c r="P29" s="33">
        <f>J29-O29</f>
        <v>3302.8</v>
      </c>
    </row>
    <row r="30" spans="1:16" ht="21" x14ac:dyDescent="0.35">
      <c r="A30" s="1"/>
      <c r="B30" s="44" t="s">
        <v>86</v>
      </c>
      <c r="C30" s="2" t="s">
        <v>87</v>
      </c>
      <c r="D30" t="s">
        <v>82</v>
      </c>
      <c r="E30" s="3">
        <v>4200</v>
      </c>
      <c r="F30" s="70">
        <v>365</v>
      </c>
      <c r="G30" s="51"/>
      <c r="H30" s="51"/>
      <c r="I30" s="3"/>
      <c r="J30" s="3">
        <f>E30/365*F30</f>
        <v>4200</v>
      </c>
      <c r="K30" s="3"/>
      <c r="L30" s="3"/>
      <c r="M30" s="3">
        <v>897.12</v>
      </c>
      <c r="N30" s="3">
        <v>0.08</v>
      </c>
      <c r="O30" s="3">
        <f>SUM(M30:N30)</f>
        <v>897.2</v>
      </c>
      <c r="P30" s="33">
        <f>J30-O30</f>
        <v>3302.8</v>
      </c>
    </row>
    <row r="31" spans="1:16" ht="18.75" x14ac:dyDescent="0.3">
      <c r="A31" s="1"/>
      <c r="B31" s="23" t="s">
        <v>36</v>
      </c>
      <c r="C31" s="40"/>
      <c r="D31" s="41"/>
      <c r="E31" s="42">
        <f>SUM(E27:E30)</f>
        <v>16800</v>
      </c>
      <c r="F31" s="42"/>
      <c r="G31" s="42"/>
      <c r="H31" s="42">
        <f>SUM(H27:H30)</f>
        <v>14</v>
      </c>
      <c r="I31" s="42">
        <f>SUM(I27:I29)</f>
        <v>0</v>
      </c>
      <c r="J31" s="42">
        <f>SUM(J27:J30)</f>
        <v>16638.904109589042</v>
      </c>
      <c r="K31" s="42">
        <f>SUM(K27:K29)</f>
        <v>0</v>
      </c>
      <c r="L31" s="42">
        <f>SUM(L27:L29)</f>
        <v>0</v>
      </c>
      <c r="M31" s="42">
        <f>SUM(M27:M30)</f>
        <v>3554.0699999999997</v>
      </c>
      <c r="N31" s="42">
        <f>SUM(N27:N30)</f>
        <v>0.43000000000000005</v>
      </c>
      <c r="O31" s="42">
        <f>SUM(O27:O30)</f>
        <v>3554.5</v>
      </c>
      <c r="P31" s="42">
        <f>SUM(P27:P30)</f>
        <v>13084.404109589042</v>
      </c>
    </row>
    <row r="32" spans="1:16" ht="18.75" x14ac:dyDescent="0.3">
      <c r="A32" s="1"/>
      <c r="B32" s="1"/>
      <c r="C32" s="2"/>
      <c r="D32" s="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43"/>
    </row>
    <row r="33" spans="1:16" ht="18.75" x14ac:dyDescent="0.3">
      <c r="A33" s="1"/>
      <c r="B33" s="23" t="s">
        <v>88</v>
      </c>
      <c r="C33" s="40" t="s">
        <v>89</v>
      </c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43"/>
    </row>
    <row r="34" spans="1:16" ht="21" x14ac:dyDescent="0.35">
      <c r="A34" s="1"/>
      <c r="B34" s="1" t="s">
        <v>90</v>
      </c>
      <c r="C34" s="2"/>
      <c r="D34" t="s">
        <v>91</v>
      </c>
      <c r="E34" s="3"/>
      <c r="F34" s="70"/>
      <c r="G34" s="3"/>
      <c r="H34" s="51"/>
      <c r="I34" s="3"/>
      <c r="J34" s="3"/>
      <c r="K34" s="3"/>
      <c r="L34" s="3"/>
      <c r="M34" s="3"/>
      <c r="N34" s="3"/>
      <c r="O34" s="3"/>
      <c r="P34" s="56"/>
    </row>
    <row r="35" spans="1:16" ht="21" x14ac:dyDescent="0.35">
      <c r="A35" s="1"/>
      <c r="B35" t="s">
        <v>90</v>
      </c>
      <c r="C35" s="2" t="s">
        <v>92</v>
      </c>
      <c r="D35" t="s">
        <v>93</v>
      </c>
      <c r="E35" s="3">
        <v>4200</v>
      </c>
      <c r="F35" s="70">
        <v>364</v>
      </c>
      <c r="G35" s="3"/>
      <c r="H35" s="51">
        <v>1</v>
      </c>
      <c r="I35" s="3"/>
      <c r="J35" s="3">
        <f t="shared" ref="J35:J51" si="7">E35/365*F35</f>
        <v>4188.4931506849316</v>
      </c>
      <c r="K35" s="3"/>
      <c r="L35" s="3"/>
      <c r="M35" s="3">
        <v>894.66</v>
      </c>
      <c r="N35" s="3">
        <v>0.03</v>
      </c>
      <c r="O35" s="3">
        <f t="shared" ref="O35:O51" si="8">SUM(M35:N35)</f>
        <v>894.68999999999994</v>
      </c>
      <c r="P35" s="33">
        <f t="shared" ref="P35:P51" si="9">J35-O35</f>
        <v>3293.8031506849316</v>
      </c>
    </row>
    <row r="36" spans="1:16" ht="21" x14ac:dyDescent="0.35">
      <c r="A36" s="1"/>
      <c r="B36" s="44" t="s">
        <v>94</v>
      </c>
      <c r="C36" s="2" t="s">
        <v>95</v>
      </c>
      <c r="D36" t="s">
        <v>82</v>
      </c>
      <c r="E36" s="3">
        <v>4200</v>
      </c>
      <c r="F36" s="70">
        <v>334</v>
      </c>
      <c r="G36" s="3"/>
      <c r="H36" s="49">
        <f>12+15+4</f>
        <v>31</v>
      </c>
      <c r="I36" s="3"/>
      <c r="J36" s="3">
        <f>E36/365*F36</f>
        <v>3843.2876712328766</v>
      </c>
      <c r="K36" s="3">
        <v>0</v>
      </c>
      <c r="L36" s="3"/>
      <c r="M36" s="3">
        <v>820.93</v>
      </c>
      <c r="N36" s="3">
        <v>-0.04</v>
      </c>
      <c r="O36" s="3">
        <f>SUM(M36:N36)</f>
        <v>820.89</v>
      </c>
      <c r="P36" s="33">
        <f>J36-O36</f>
        <v>3022.3976712328767</v>
      </c>
    </row>
    <row r="37" spans="1:16" ht="21" x14ac:dyDescent="0.35">
      <c r="A37" s="1"/>
      <c r="B37" s="44" t="s">
        <v>96</v>
      </c>
      <c r="C37" s="2" t="s">
        <v>97</v>
      </c>
      <c r="D37" s="1" t="s">
        <v>98</v>
      </c>
      <c r="E37" s="3">
        <v>4200</v>
      </c>
      <c r="F37" s="70">
        <v>334</v>
      </c>
      <c r="G37" s="3"/>
      <c r="H37" s="51"/>
      <c r="I37" s="3"/>
      <c r="J37" s="3">
        <f t="shared" si="7"/>
        <v>3843.2876712328766</v>
      </c>
      <c r="K37" s="3">
        <v>0</v>
      </c>
      <c r="L37" s="3"/>
      <c r="M37" s="3">
        <v>820.93</v>
      </c>
      <c r="N37" s="3">
        <v>0.16</v>
      </c>
      <c r="O37" s="3">
        <f t="shared" si="8"/>
        <v>821.08999999999992</v>
      </c>
      <c r="P37" s="72">
        <f t="shared" si="9"/>
        <v>3022.1976712328769</v>
      </c>
    </row>
    <row r="38" spans="1:16" ht="21" x14ac:dyDescent="0.35">
      <c r="A38" s="1"/>
      <c r="B38" s="1" t="s">
        <v>99</v>
      </c>
      <c r="C38" s="2" t="s">
        <v>100</v>
      </c>
      <c r="D38" s="1" t="s">
        <v>101</v>
      </c>
      <c r="E38" s="3">
        <v>4200</v>
      </c>
      <c r="F38" s="70">
        <v>365</v>
      </c>
      <c r="G38" s="3"/>
      <c r="H38" s="51"/>
      <c r="I38" s="3"/>
      <c r="J38" s="3">
        <v>4200</v>
      </c>
      <c r="K38" s="3">
        <v>0</v>
      </c>
      <c r="L38" s="3"/>
      <c r="M38" s="3">
        <v>897.12</v>
      </c>
      <c r="N38" s="3">
        <v>-0.12</v>
      </c>
      <c r="O38" s="3">
        <f t="shared" si="8"/>
        <v>897</v>
      </c>
      <c r="P38" s="33">
        <f t="shared" si="9"/>
        <v>3303</v>
      </c>
    </row>
    <row r="39" spans="1:16" ht="21" x14ac:dyDescent="0.35">
      <c r="A39" s="1"/>
      <c r="B39" s="1" t="s">
        <v>102</v>
      </c>
      <c r="C39" s="2" t="s">
        <v>103</v>
      </c>
      <c r="D39" s="1" t="s">
        <v>104</v>
      </c>
      <c r="E39" s="3">
        <v>4200</v>
      </c>
      <c r="F39" s="70">
        <v>365</v>
      </c>
      <c r="G39" s="3"/>
      <c r="H39" s="49"/>
      <c r="I39" s="3"/>
      <c r="J39" s="3">
        <f t="shared" si="7"/>
        <v>4200</v>
      </c>
      <c r="K39" s="3">
        <v>0</v>
      </c>
      <c r="L39" s="3"/>
      <c r="M39" s="3">
        <v>897.12</v>
      </c>
      <c r="N39" s="3">
        <v>0.08</v>
      </c>
      <c r="O39" s="3">
        <f t="shared" si="8"/>
        <v>897.2</v>
      </c>
      <c r="P39" s="33">
        <f t="shared" si="9"/>
        <v>3302.8</v>
      </c>
    </row>
    <row r="40" spans="1:16" ht="21" x14ac:dyDescent="0.35">
      <c r="A40" s="1"/>
      <c r="B40" s="44" t="s">
        <v>105</v>
      </c>
      <c r="C40" s="2" t="s">
        <v>106</v>
      </c>
      <c r="D40" s="1" t="s">
        <v>104</v>
      </c>
      <c r="E40" s="3">
        <v>4200</v>
      </c>
      <c r="F40" s="70">
        <v>227</v>
      </c>
      <c r="G40" s="3"/>
      <c r="H40" s="51"/>
      <c r="I40" s="3"/>
      <c r="J40" s="3">
        <f t="shared" si="7"/>
        <v>2612.0547945205481</v>
      </c>
      <c r="K40" s="3">
        <v>0</v>
      </c>
      <c r="L40" s="3"/>
      <c r="M40" s="3">
        <v>557.92999999999995</v>
      </c>
      <c r="N40" s="3">
        <v>0.12</v>
      </c>
      <c r="O40" s="3">
        <f t="shared" si="8"/>
        <v>558.04999999999995</v>
      </c>
      <c r="P40" s="33">
        <f t="shared" si="9"/>
        <v>2054.0047945205479</v>
      </c>
    </row>
    <row r="41" spans="1:16" ht="21" x14ac:dyDescent="0.35">
      <c r="A41" s="1"/>
      <c r="B41" s="44" t="s">
        <v>107</v>
      </c>
      <c r="C41" s="2" t="s">
        <v>108</v>
      </c>
      <c r="D41" s="1" t="s">
        <v>104</v>
      </c>
      <c r="E41" s="3">
        <v>4200</v>
      </c>
      <c r="F41" s="70">
        <v>227</v>
      </c>
      <c r="G41" s="3"/>
      <c r="H41" s="49"/>
      <c r="I41" s="3"/>
      <c r="J41" s="3">
        <f t="shared" si="7"/>
        <v>2612.0547945205481</v>
      </c>
      <c r="K41" s="3">
        <v>0</v>
      </c>
      <c r="L41" s="3"/>
      <c r="M41" s="3">
        <v>557.92999999999995</v>
      </c>
      <c r="N41" s="3">
        <v>-0.08</v>
      </c>
      <c r="O41" s="3">
        <f t="shared" si="8"/>
        <v>557.84999999999991</v>
      </c>
      <c r="P41" s="33">
        <f t="shared" si="9"/>
        <v>2054.2047945205481</v>
      </c>
    </row>
    <row r="42" spans="1:16" ht="21" x14ac:dyDescent="0.35">
      <c r="A42" s="1"/>
      <c r="B42" t="s">
        <v>109</v>
      </c>
      <c r="C42" s="2" t="s">
        <v>110</v>
      </c>
      <c r="D42" t="s">
        <v>111</v>
      </c>
      <c r="E42" s="3">
        <v>4200</v>
      </c>
      <c r="F42" s="70">
        <v>363</v>
      </c>
      <c r="G42" s="3"/>
      <c r="H42" s="49">
        <f>1+1</f>
        <v>2</v>
      </c>
      <c r="I42" s="3"/>
      <c r="J42" s="3">
        <f t="shared" si="7"/>
        <v>4176.9863013698632</v>
      </c>
      <c r="K42" s="3">
        <v>0</v>
      </c>
      <c r="L42" s="3"/>
      <c r="M42" s="3">
        <v>892.21</v>
      </c>
      <c r="N42" s="3">
        <v>-0.02</v>
      </c>
      <c r="O42" s="3">
        <f t="shared" si="8"/>
        <v>892.19</v>
      </c>
      <c r="P42" s="33">
        <f t="shared" si="9"/>
        <v>3284.7963013698632</v>
      </c>
    </row>
    <row r="43" spans="1:16" ht="21" x14ac:dyDescent="0.35">
      <c r="A43" s="1"/>
      <c r="B43" s="1" t="s">
        <v>112</v>
      </c>
      <c r="C43" s="2" t="s">
        <v>113</v>
      </c>
      <c r="D43" s="1" t="s">
        <v>111</v>
      </c>
      <c r="E43" s="3">
        <v>4200</v>
      </c>
      <c r="F43" s="70">
        <v>364</v>
      </c>
      <c r="G43" s="3"/>
      <c r="H43" s="49">
        <v>1</v>
      </c>
      <c r="I43" s="3"/>
      <c r="J43" s="3">
        <f t="shared" si="7"/>
        <v>4188.4931506849316</v>
      </c>
      <c r="K43" s="3">
        <v>0</v>
      </c>
      <c r="L43" s="3"/>
      <c r="M43" s="3">
        <v>894.66</v>
      </c>
      <c r="N43" s="3">
        <v>0.03</v>
      </c>
      <c r="O43" s="3">
        <f t="shared" si="8"/>
        <v>894.68999999999994</v>
      </c>
      <c r="P43" s="33">
        <f t="shared" si="9"/>
        <v>3293.8031506849316</v>
      </c>
    </row>
    <row r="44" spans="1:16" ht="21" x14ac:dyDescent="0.35">
      <c r="A44" s="1"/>
      <c r="B44" s="44" t="s">
        <v>114</v>
      </c>
      <c r="C44" s="2" t="s">
        <v>115</v>
      </c>
      <c r="D44" s="1" t="s">
        <v>116</v>
      </c>
      <c r="E44" s="3">
        <v>4200</v>
      </c>
      <c r="F44" s="70">
        <v>214</v>
      </c>
      <c r="G44" s="3"/>
      <c r="H44" s="51"/>
      <c r="I44" s="3"/>
      <c r="J44" s="3">
        <f t="shared" si="7"/>
        <v>2462.4657534246576</v>
      </c>
      <c r="K44" s="3">
        <v>0</v>
      </c>
      <c r="L44" s="3"/>
      <c r="M44" s="3">
        <v>525.98</v>
      </c>
      <c r="N44" s="3">
        <v>-0.11</v>
      </c>
      <c r="O44" s="3">
        <f t="shared" si="8"/>
        <v>525.87</v>
      </c>
      <c r="P44" s="33">
        <f t="shared" si="9"/>
        <v>1936.5957534246577</v>
      </c>
    </row>
    <row r="45" spans="1:16" ht="21" x14ac:dyDescent="0.35">
      <c r="A45" s="1"/>
      <c r="B45" s="1" t="s">
        <v>117</v>
      </c>
      <c r="C45" s="2" t="s">
        <v>118</v>
      </c>
      <c r="D45" s="1" t="s">
        <v>116</v>
      </c>
      <c r="E45" s="3">
        <v>4200</v>
      </c>
      <c r="F45" s="70">
        <v>365</v>
      </c>
      <c r="G45" s="3"/>
      <c r="H45" s="51"/>
      <c r="I45" s="3"/>
      <c r="J45" s="3">
        <f t="shared" si="7"/>
        <v>4200</v>
      </c>
      <c r="K45" s="3">
        <v>0</v>
      </c>
      <c r="L45" s="3"/>
      <c r="M45" s="3">
        <v>897.12</v>
      </c>
      <c r="N45" s="3">
        <v>0.08</v>
      </c>
      <c r="O45" s="3">
        <f t="shared" si="8"/>
        <v>897.2</v>
      </c>
      <c r="P45" s="33">
        <f t="shared" si="9"/>
        <v>3302.8</v>
      </c>
    </row>
    <row r="46" spans="1:16" ht="21" x14ac:dyDescent="0.35">
      <c r="A46" s="1"/>
      <c r="B46" t="s">
        <v>119</v>
      </c>
      <c r="C46" s="2" t="s">
        <v>120</v>
      </c>
      <c r="D46" t="s">
        <v>121</v>
      </c>
      <c r="E46" s="3">
        <v>4200</v>
      </c>
      <c r="F46" s="70">
        <v>364</v>
      </c>
      <c r="G46" s="3"/>
      <c r="H46" s="51">
        <v>1</v>
      </c>
      <c r="I46" s="3"/>
      <c r="J46" s="3">
        <f t="shared" si="7"/>
        <v>4188.4931506849316</v>
      </c>
      <c r="K46" s="3">
        <v>0</v>
      </c>
      <c r="L46" s="3"/>
      <c r="M46" s="3">
        <v>894.66</v>
      </c>
      <c r="N46" s="3">
        <v>0.03</v>
      </c>
      <c r="O46" s="3">
        <f t="shared" si="8"/>
        <v>894.68999999999994</v>
      </c>
      <c r="P46" s="33">
        <f t="shared" si="9"/>
        <v>3293.8031506849316</v>
      </c>
    </row>
    <row r="47" spans="1:16" ht="21" x14ac:dyDescent="0.35">
      <c r="A47" s="1"/>
      <c r="B47" t="s">
        <v>122</v>
      </c>
      <c r="C47" s="2" t="s">
        <v>123</v>
      </c>
      <c r="D47" t="s">
        <v>121</v>
      </c>
      <c r="E47" s="3">
        <v>4200</v>
      </c>
      <c r="F47" s="70">
        <v>364</v>
      </c>
      <c r="G47" s="3"/>
      <c r="H47" s="51">
        <v>1</v>
      </c>
      <c r="I47" s="3"/>
      <c r="J47" s="3">
        <f t="shared" si="7"/>
        <v>4188.4931506849316</v>
      </c>
      <c r="K47" s="3">
        <v>0</v>
      </c>
      <c r="L47" s="3"/>
      <c r="M47" s="3">
        <v>894.66</v>
      </c>
      <c r="N47" s="3">
        <v>0.03</v>
      </c>
      <c r="O47" s="3">
        <f t="shared" si="8"/>
        <v>894.68999999999994</v>
      </c>
      <c r="P47" s="33">
        <f t="shared" si="9"/>
        <v>3293.8031506849316</v>
      </c>
    </row>
    <row r="48" spans="1:16" ht="21" x14ac:dyDescent="0.35">
      <c r="A48" s="1"/>
      <c r="B48" t="s">
        <v>124</v>
      </c>
      <c r="C48" s="2" t="s">
        <v>125</v>
      </c>
      <c r="D48" t="s">
        <v>121</v>
      </c>
      <c r="E48" s="3">
        <v>4200</v>
      </c>
      <c r="F48" s="70">
        <v>365</v>
      </c>
      <c r="G48" s="3"/>
      <c r="H48" s="51"/>
      <c r="I48" s="3"/>
      <c r="J48" s="3">
        <v>4200</v>
      </c>
      <c r="K48" s="3">
        <v>0</v>
      </c>
      <c r="L48" s="3"/>
      <c r="M48" s="3">
        <v>897.12</v>
      </c>
      <c r="N48" s="3">
        <v>0.08</v>
      </c>
      <c r="O48" s="3">
        <f t="shared" si="8"/>
        <v>897.2</v>
      </c>
      <c r="P48" s="33">
        <f t="shared" si="9"/>
        <v>3302.8</v>
      </c>
    </row>
    <row r="49" spans="1:16" ht="21" x14ac:dyDescent="0.35">
      <c r="A49" s="1"/>
      <c r="B49" t="s">
        <v>126</v>
      </c>
      <c r="C49" s="2" t="s">
        <v>127</v>
      </c>
      <c r="D49" t="s">
        <v>121</v>
      </c>
      <c r="E49" s="3">
        <v>4200</v>
      </c>
      <c r="F49" s="70">
        <v>365</v>
      </c>
      <c r="G49" s="3"/>
      <c r="H49" s="51"/>
      <c r="I49" s="3"/>
      <c r="J49" s="3">
        <f t="shared" si="7"/>
        <v>4200</v>
      </c>
      <c r="K49" s="3">
        <v>0</v>
      </c>
      <c r="L49" s="3"/>
      <c r="M49" s="3">
        <v>897.12</v>
      </c>
      <c r="N49" s="3">
        <v>-0.12</v>
      </c>
      <c r="O49" s="3">
        <f t="shared" si="8"/>
        <v>897</v>
      </c>
      <c r="P49" s="59">
        <f t="shared" si="9"/>
        <v>3303</v>
      </c>
    </row>
    <row r="50" spans="1:16" ht="21" x14ac:dyDescent="0.35">
      <c r="A50" s="1"/>
      <c r="B50" t="s">
        <v>128</v>
      </c>
      <c r="C50" s="2" t="s">
        <v>45</v>
      </c>
      <c r="D50" t="s">
        <v>121</v>
      </c>
      <c r="E50" s="3"/>
      <c r="F50" s="70"/>
      <c r="G50" s="3"/>
      <c r="H50" s="49"/>
      <c r="I50" s="3"/>
      <c r="J50" s="3">
        <f t="shared" si="7"/>
        <v>0</v>
      </c>
      <c r="K50" s="3">
        <v>0</v>
      </c>
      <c r="L50" s="3"/>
      <c r="M50" s="3"/>
      <c r="N50" s="3"/>
      <c r="O50" s="3">
        <f t="shared" si="8"/>
        <v>0</v>
      </c>
      <c r="P50" s="33">
        <f t="shared" si="9"/>
        <v>0</v>
      </c>
    </row>
    <row r="51" spans="1:16" ht="21" x14ac:dyDescent="0.35">
      <c r="A51" s="1"/>
      <c r="B51" t="s">
        <v>129</v>
      </c>
      <c r="C51" s="2" t="s">
        <v>130</v>
      </c>
      <c r="D51" t="s">
        <v>131</v>
      </c>
      <c r="E51" s="3">
        <v>4200</v>
      </c>
      <c r="F51" s="70">
        <v>365</v>
      </c>
      <c r="G51" s="3"/>
      <c r="H51" s="51"/>
      <c r="I51" s="3"/>
      <c r="J51" s="3">
        <f t="shared" si="7"/>
        <v>4200</v>
      </c>
      <c r="K51" s="3"/>
      <c r="L51" s="3"/>
      <c r="M51" s="3">
        <v>672</v>
      </c>
      <c r="N51" s="3"/>
      <c r="O51" s="3">
        <f t="shared" si="8"/>
        <v>672</v>
      </c>
      <c r="P51" s="33">
        <f t="shared" si="9"/>
        <v>3528</v>
      </c>
    </row>
    <row r="52" spans="1:16" ht="18.75" x14ac:dyDescent="0.3">
      <c r="A52" s="1"/>
      <c r="B52" s="23" t="s">
        <v>36</v>
      </c>
      <c r="C52" s="40"/>
      <c r="D52" s="41"/>
      <c r="E52" s="42">
        <f>SUM(E34:E51)</f>
        <v>67200</v>
      </c>
      <c r="F52" s="42"/>
      <c r="G52" s="42">
        <f>SUM(G34:G49)</f>
        <v>0</v>
      </c>
      <c r="H52" s="42">
        <f>SUM(H34:H51)</f>
        <v>37</v>
      </c>
      <c r="I52" s="42">
        <f>SUM(I34:I49)</f>
        <v>0</v>
      </c>
      <c r="J52" s="42">
        <f t="shared" ref="J52:P52" si="10">SUM(J34:J51)</f>
        <v>61504.109589041094</v>
      </c>
      <c r="K52" s="42">
        <f t="shared" si="10"/>
        <v>0</v>
      </c>
      <c r="L52" s="42">
        <f t="shared" si="10"/>
        <v>0</v>
      </c>
      <c r="M52" s="42">
        <f t="shared" si="10"/>
        <v>12912.150000000003</v>
      </c>
      <c r="N52" s="42">
        <f t="shared" si="10"/>
        <v>0.14999999999999997</v>
      </c>
      <c r="O52" s="42">
        <f t="shared" si="10"/>
        <v>12912.300000000003</v>
      </c>
      <c r="P52" s="42">
        <f t="shared" si="10"/>
        <v>48591.809589041099</v>
      </c>
    </row>
    <row r="53" spans="1:16" ht="18.75" x14ac:dyDescent="0.3">
      <c r="A53" s="1"/>
      <c r="B53" s="1"/>
      <c r="C53" s="2"/>
      <c r="D53" s="1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43"/>
    </row>
    <row r="54" spans="1:16" ht="18.75" x14ac:dyDescent="0.3">
      <c r="A54" s="1"/>
      <c r="B54" s="23" t="s">
        <v>132</v>
      </c>
      <c r="C54" s="40" t="s">
        <v>133</v>
      </c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43"/>
    </row>
    <row r="55" spans="1:16" ht="21" x14ac:dyDescent="0.35">
      <c r="A55" s="1"/>
      <c r="B55" s="44" t="s">
        <v>134</v>
      </c>
      <c r="C55" s="2" t="s">
        <v>135</v>
      </c>
      <c r="D55" s="1" t="s">
        <v>136</v>
      </c>
      <c r="E55" s="3">
        <v>4200</v>
      </c>
      <c r="F55" s="70">
        <v>46</v>
      </c>
      <c r="G55" s="3"/>
      <c r="H55" s="51"/>
      <c r="I55" s="3"/>
      <c r="J55" s="3">
        <f>E55/365*F55</f>
        <v>529.31506849315065</v>
      </c>
      <c r="K55" s="3"/>
      <c r="L55" s="3"/>
      <c r="M55" s="3">
        <v>113.06</v>
      </c>
      <c r="N55" s="3">
        <v>-0.14000000000000001</v>
      </c>
      <c r="O55" s="3">
        <f t="shared" ref="O55:O60" si="11">SUM(M55:N55)</f>
        <v>112.92</v>
      </c>
      <c r="P55" s="72">
        <f t="shared" ref="P55:P60" si="12">J55-O55</f>
        <v>416.39506849315063</v>
      </c>
    </row>
    <row r="56" spans="1:16" ht="21" x14ac:dyDescent="0.35">
      <c r="A56" s="1"/>
      <c r="B56" s="1" t="s">
        <v>137</v>
      </c>
      <c r="C56" s="2" t="s">
        <v>138</v>
      </c>
      <c r="D56" s="1" t="s">
        <v>91</v>
      </c>
      <c r="E56" s="3">
        <v>4200</v>
      </c>
      <c r="F56" s="70">
        <v>365</v>
      </c>
      <c r="G56" s="3"/>
      <c r="H56" s="51"/>
      <c r="I56" s="3"/>
      <c r="J56" s="3">
        <v>4200</v>
      </c>
      <c r="K56" s="3"/>
      <c r="L56" s="3"/>
      <c r="M56" s="3">
        <v>897.12</v>
      </c>
      <c r="N56" s="3">
        <v>0.08</v>
      </c>
      <c r="O56" s="3">
        <f t="shared" si="11"/>
        <v>897.2</v>
      </c>
      <c r="P56" s="33">
        <f t="shared" si="12"/>
        <v>3302.8</v>
      </c>
    </row>
    <row r="57" spans="1:16" ht="21" x14ac:dyDescent="0.35">
      <c r="A57" s="1"/>
      <c r="B57" s="1" t="s">
        <v>176</v>
      </c>
      <c r="C57" s="2" t="s">
        <v>140</v>
      </c>
      <c r="D57" s="1" t="s">
        <v>121</v>
      </c>
      <c r="E57" s="3">
        <v>4200</v>
      </c>
      <c r="F57" s="70">
        <v>333</v>
      </c>
      <c r="G57" s="3"/>
      <c r="H57" s="51">
        <v>1</v>
      </c>
      <c r="I57" s="3"/>
      <c r="J57" s="3">
        <f>E57/365*F57</f>
        <v>3831.7808219178082</v>
      </c>
      <c r="K57" s="3"/>
      <c r="L57" s="3"/>
      <c r="M57" s="3">
        <v>818.47</v>
      </c>
      <c r="N57" s="3">
        <v>-0.09</v>
      </c>
      <c r="O57" s="3">
        <f t="shared" si="11"/>
        <v>818.38</v>
      </c>
      <c r="P57" s="33">
        <f t="shared" si="12"/>
        <v>3013.4008219178081</v>
      </c>
    </row>
    <row r="58" spans="1:16" ht="91.5" x14ac:dyDescent="0.35">
      <c r="A58" s="1" t="s">
        <v>141</v>
      </c>
      <c r="B58" t="s">
        <v>142</v>
      </c>
      <c r="C58" s="2" t="s">
        <v>143</v>
      </c>
      <c r="D58" s="61" t="s">
        <v>144</v>
      </c>
      <c r="E58" s="3">
        <v>4200</v>
      </c>
      <c r="F58" s="70">
        <v>364</v>
      </c>
      <c r="G58" s="3"/>
      <c r="H58" s="51">
        <v>1</v>
      </c>
      <c r="I58" s="3"/>
      <c r="J58" s="3">
        <f>E58/365*F58</f>
        <v>4188.4931506849316</v>
      </c>
      <c r="K58" s="3"/>
      <c r="L58" s="3"/>
      <c r="M58" s="3">
        <v>894.66</v>
      </c>
      <c r="N58" s="3">
        <v>0.03</v>
      </c>
      <c r="O58" s="3">
        <f t="shared" si="11"/>
        <v>894.68999999999994</v>
      </c>
      <c r="P58" s="33">
        <f t="shared" si="12"/>
        <v>3293.8031506849316</v>
      </c>
    </row>
    <row r="59" spans="1:16" ht="91.5" x14ac:dyDescent="0.35">
      <c r="A59" s="1"/>
      <c r="B59" t="s">
        <v>145</v>
      </c>
      <c r="C59" s="2" t="s">
        <v>146</v>
      </c>
      <c r="D59" s="61" t="s">
        <v>144</v>
      </c>
      <c r="E59" s="3">
        <v>4200</v>
      </c>
      <c r="F59" s="70">
        <v>363</v>
      </c>
      <c r="G59" s="3"/>
      <c r="H59" s="51">
        <f>1+1</f>
        <v>2</v>
      </c>
      <c r="I59" s="3"/>
      <c r="J59" s="3">
        <f>E59/365*F59</f>
        <v>4176.9863013698632</v>
      </c>
      <c r="K59" s="3"/>
      <c r="L59" s="3"/>
      <c r="M59" s="3">
        <v>892.21</v>
      </c>
      <c r="N59" s="3">
        <v>-0.02</v>
      </c>
      <c r="O59" s="3">
        <f t="shared" si="11"/>
        <v>892.19</v>
      </c>
      <c r="P59" s="33">
        <f t="shared" si="12"/>
        <v>3284.7963013698632</v>
      </c>
    </row>
    <row r="60" spans="1:16" ht="91.5" x14ac:dyDescent="0.35">
      <c r="A60" s="1"/>
      <c r="B60" t="s">
        <v>147</v>
      </c>
      <c r="C60" s="2" t="s">
        <v>148</v>
      </c>
      <c r="D60" s="61" t="s">
        <v>144</v>
      </c>
      <c r="E60" s="3">
        <v>4200</v>
      </c>
      <c r="F60" s="70">
        <v>363</v>
      </c>
      <c r="G60" s="3"/>
      <c r="H60" s="51">
        <f>1+1</f>
        <v>2</v>
      </c>
      <c r="I60" s="3"/>
      <c r="J60" s="3">
        <f>E60/365*F60</f>
        <v>4176.9863013698632</v>
      </c>
      <c r="K60" s="3"/>
      <c r="L60" s="3"/>
      <c r="M60" s="3">
        <v>892.21</v>
      </c>
      <c r="N60" s="3">
        <v>-0.02</v>
      </c>
      <c r="O60" s="3">
        <f t="shared" si="11"/>
        <v>892.19</v>
      </c>
      <c r="P60" s="33">
        <f t="shared" si="12"/>
        <v>3284.7963013698632</v>
      </c>
    </row>
    <row r="61" spans="1:16" ht="18.75" x14ac:dyDescent="0.3">
      <c r="A61" s="1"/>
      <c r="B61" s="23" t="s">
        <v>36</v>
      </c>
      <c r="C61" s="40"/>
      <c r="D61" s="41"/>
      <c r="E61" s="42">
        <f>SUM(E55:E60)</f>
        <v>25200</v>
      </c>
      <c r="F61" s="42"/>
      <c r="G61" s="42">
        <f t="shared" ref="G61:P61" si="13">SUM(G55:G60)</f>
        <v>0</v>
      </c>
      <c r="H61" s="42">
        <f t="shared" si="13"/>
        <v>6</v>
      </c>
      <c r="I61" s="42">
        <f t="shared" si="13"/>
        <v>0</v>
      </c>
      <c r="J61" s="42">
        <f t="shared" si="13"/>
        <v>21103.561643835616</v>
      </c>
      <c r="K61" s="42">
        <f t="shared" si="13"/>
        <v>0</v>
      </c>
      <c r="L61" s="42">
        <f t="shared" si="13"/>
        <v>0</v>
      </c>
      <c r="M61" s="42">
        <f t="shared" si="13"/>
        <v>4507.7299999999996</v>
      </c>
      <c r="N61" s="42">
        <f t="shared" si="13"/>
        <v>-0.16</v>
      </c>
      <c r="O61" s="42">
        <f t="shared" si="13"/>
        <v>4507.57</v>
      </c>
      <c r="P61" s="42">
        <f t="shared" si="13"/>
        <v>16595.991643835616</v>
      </c>
    </row>
    <row r="62" spans="1:16" ht="18.75" x14ac:dyDescent="0.3">
      <c r="A62" s="1"/>
      <c r="B62" s="23"/>
      <c r="C62" s="2"/>
      <c r="D62" s="1"/>
      <c r="E62" s="3"/>
      <c r="F62" s="3"/>
      <c r="G62" s="3"/>
      <c r="H62" s="3"/>
      <c r="I62" s="3"/>
      <c r="J62" s="62"/>
      <c r="K62" s="62"/>
      <c r="L62" s="62"/>
      <c r="M62" s="62"/>
      <c r="N62" s="62"/>
      <c r="O62" s="62"/>
      <c r="P62" s="63"/>
    </row>
    <row r="63" spans="1:16" ht="18.75" x14ac:dyDescent="0.3">
      <c r="A63" s="1"/>
      <c r="B63" s="23" t="s">
        <v>149</v>
      </c>
      <c r="C63" s="40" t="s">
        <v>177</v>
      </c>
      <c r="D63" s="1"/>
      <c r="E63" s="3"/>
      <c r="F63" s="3"/>
      <c r="G63" s="3"/>
      <c r="H63" s="3"/>
      <c r="I63" s="3"/>
      <c r="J63" s="62"/>
      <c r="K63" s="62"/>
      <c r="L63" s="62"/>
      <c r="M63" s="62"/>
      <c r="N63" s="62"/>
      <c r="O63" s="62"/>
      <c r="P63" s="63"/>
    </row>
    <row r="64" spans="1:16" ht="21" x14ac:dyDescent="0.35">
      <c r="A64" s="1"/>
      <c r="B64" s="41" t="s">
        <v>151</v>
      </c>
      <c r="C64" s="40" t="s">
        <v>152</v>
      </c>
      <c r="D64" s="44" t="s">
        <v>153</v>
      </c>
      <c r="E64" s="3">
        <v>4200</v>
      </c>
      <c r="F64" s="3">
        <v>122</v>
      </c>
      <c r="G64" s="3"/>
      <c r="H64" s="3"/>
      <c r="I64" s="3"/>
      <c r="J64" s="3">
        <f>E64/365*F64</f>
        <v>1403.8356164383561</v>
      </c>
      <c r="K64" s="62"/>
      <c r="L64" s="62"/>
      <c r="M64" s="62">
        <v>152.74</v>
      </c>
      <c r="N64" s="62">
        <v>-0.1</v>
      </c>
      <c r="O64" s="3">
        <f t="shared" ref="O64:O68" si="14">SUM(M64:N64)</f>
        <v>152.64000000000001</v>
      </c>
      <c r="P64" s="33">
        <f t="shared" ref="P64:P68" si="15">J64-O64</f>
        <v>1251.195616438356</v>
      </c>
    </row>
    <row r="65" spans="1:16" ht="21" x14ac:dyDescent="0.35">
      <c r="A65" s="1"/>
      <c r="B65" s="41" t="s">
        <v>154</v>
      </c>
      <c r="C65" s="40" t="s">
        <v>155</v>
      </c>
      <c r="D65" s="44" t="s">
        <v>153</v>
      </c>
      <c r="E65" s="3">
        <v>4200</v>
      </c>
      <c r="F65" s="3">
        <v>122</v>
      </c>
      <c r="G65" s="3"/>
      <c r="H65" s="3"/>
      <c r="I65" s="3"/>
      <c r="J65" s="3">
        <f t="shared" ref="J65:J68" si="16">E65/365*F65</f>
        <v>1403.8356164383561</v>
      </c>
      <c r="K65" s="62"/>
      <c r="L65" s="62"/>
      <c r="M65" s="62">
        <v>152.74</v>
      </c>
      <c r="N65" s="62">
        <v>-0.1</v>
      </c>
      <c r="O65" s="3">
        <f t="shared" si="14"/>
        <v>152.64000000000001</v>
      </c>
      <c r="P65" s="33">
        <f t="shared" si="15"/>
        <v>1251.195616438356</v>
      </c>
    </row>
    <row r="66" spans="1:16" ht="21" x14ac:dyDescent="0.35">
      <c r="A66" s="1"/>
      <c r="B66" s="41" t="s">
        <v>156</v>
      </c>
      <c r="C66" s="40" t="s">
        <v>157</v>
      </c>
      <c r="D66" s="44" t="s">
        <v>153</v>
      </c>
      <c r="E66" s="3">
        <v>4200</v>
      </c>
      <c r="F66" s="3">
        <v>122</v>
      </c>
      <c r="G66" s="3"/>
      <c r="H66" s="3"/>
      <c r="I66" s="3"/>
      <c r="J66" s="3">
        <f t="shared" si="16"/>
        <v>1403.8356164383561</v>
      </c>
      <c r="K66" s="62"/>
      <c r="L66" s="62"/>
      <c r="M66" s="62">
        <v>152.74</v>
      </c>
      <c r="N66" s="62">
        <v>-0.1</v>
      </c>
      <c r="O66" s="3">
        <f t="shared" si="14"/>
        <v>152.64000000000001</v>
      </c>
      <c r="P66" s="33">
        <f t="shared" si="15"/>
        <v>1251.195616438356</v>
      </c>
    </row>
    <row r="67" spans="1:16" ht="21" x14ac:dyDescent="0.35">
      <c r="A67" s="1"/>
      <c r="B67" s="41" t="s">
        <v>158</v>
      </c>
      <c r="C67" s="40" t="s">
        <v>159</v>
      </c>
      <c r="D67" s="44" t="s">
        <v>153</v>
      </c>
      <c r="E67" s="3">
        <v>4200</v>
      </c>
      <c r="F67" s="3">
        <v>122</v>
      </c>
      <c r="G67" s="3"/>
      <c r="H67" s="3"/>
      <c r="I67" s="3"/>
      <c r="J67" s="3">
        <f t="shared" si="16"/>
        <v>1403.8356164383561</v>
      </c>
      <c r="K67" s="62"/>
      <c r="L67" s="62"/>
      <c r="M67" s="62">
        <v>152.74</v>
      </c>
      <c r="N67" s="62">
        <v>0.1</v>
      </c>
      <c r="O67" s="3">
        <f t="shared" si="14"/>
        <v>152.84</v>
      </c>
      <c r="P67" s="33">
        <f t="shared" si="15"/>
        <v>1250.9956164383561</v>
      </c>
    </row>
    <row r="68" spans="1:16" ht="21" x14ac:dyDescent="0.35">
      <c r="A68" s="1"/>
      <c r="B68" s="41" t="s">
        <v>160</v>
      </c>
      <c r="C68" s="2" t="s">
        <v>161</v>
      </c>
      <c r="D68" s="44" t="s">
        <v>58</v>
      </c>
      <c r="E68" s="3">
        <v>4200</v>
      </c>
      <c r="F68" s="70">
        <v>107</v>
      </c>
      <c r="G68" s="3"/>
      <c r="H68" s="3"/>
      <c r="I68" s="3"/>
      <c r="J68" s="3">
        <f t="shared" si="16"/>
        <v>1231.2328767123288</v>
      </c>
      <c r="K68" s="3">
        <v>0</v>
      </c>
      <c r="L68" s="3"/>
      <c r="M68" s="3">
        <v>133.96</v>
      </c>
      <c r="N68" s="3">
        <v>7.0000000000000007E-2</v>
      </c>
      <c r="O68" s="3">
        <f t="shared" si="14"/>
        <v>134.03</v>
      </c>
      <c r="P68" s="33">
        <f t="shared" si="15"/>
        <v>1097.2028767123288</v>
      </c>
    </row>
    <row r="69" spans="1:16" ht="18.75" x14ac:dyDescent="0.3">
      <c r="A69" s="1"/>
      <c r="B69" s="23" t="s">
        <v>36</v>
      </c>
      <c r="C69" s="1"/>
      <c r="D69" s="1"/>
      <c r="E69" s="42">
        <f>SUM(E64:E68)</f>
        <v>21000</v>
      </c>
      <c r="F69" s="42">
        <f>SUM(F64:F68)</f>
        <v>595</v>
      </c>
      <c r="G69" s="42"/>
      <c r="H69" s="42">
        <f t="shared" ref="H69:L69" si="17">H68</f>
        <v>0</v>
      </c>
      <c r="I69" s="42">
        <f t="shared" si="17"/>
        <v>0</v>
      </c>
      <c r="J69" s="42">
        <f>SUM(J64:J68)</f>
        <v>6846.5753424657532</v>
      </c>
      <c r="K69" s="42">
        <f t="shared" si="17"/>
        <v>0</v>
      </c>
      <c r="L69" s="42">
        <f t="shared" si="17"/>
        <v>0</v>
      </c>
      <c r="M69" s="42">
        <f>SUM(M64:M68)</f>
        <v>744.92000000000007</v>
      </c>
      <c r="N69" s="42">
        <f>SUM(N64:N68)</f>
        <v>-0.13000000000000003</v>
      </c>
      <c r="O69" s="42">
        <f>SUM(O64:O68)</f>
        <v>744.79000000000008</v>
      </c>
      <c r="P69" s="42">
        <f>SUM(P64:P68)</f>
        <v>6101.7853424657533</v>
      </c>
    </row>
    <row r="70" spans="1:16" ht="18.75" x14ac:dyDescent="0.3">
      <c r="A70" s="1"/>
      <c r="B70" s="23"/>
      <c r="C70" s="1"/>
      <c r="D70" s="1"/>
      <c r="E70" s="3"/>
      <c r="F70" s="3"/>
      <c r="G70" s="3"/>
      <c r="H70" s="3"/>
      <c r="I70" s="3"/>
      <c r="J70" s="62"/>
      <c r="K70" s="62"/>
      <c r="L70" s="62"/>
      <c r="M70" s="62"/>
      <c r="N70" s="62"/>
      <c r="O70" s="62"/>
      <c r="P70" s="63"/>
    </row>
    <row r="71" spans="1:16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65"/>
    </row>
    <row r="72" spans="1:16" ht="18.75" x14ac:dyDescent="0.3">
      <c r="A72" s="1"/>
      <c r="B72" s="1"/>
      <c r="C72" s="66" t="s">
        <v>162</v>
      </c>
      <c r="D72" s="1"/>
      <c r="E72" s="68">
        <f>E9+E24+E31+E52+E61+E69</f>
        <v>172200</v>
      </c>
      <c r="F72" s="68">
        <f>F9+F24+F31+F52+F61+F69</f>
        <v>595</v>
      </c>
      <c r="G72" s="68"/>
      <c r="H72" s="68">
        <f t="shared" ref="H72:O72" si="18">H9+H24+H31+H52+H61+H69</f>
        <v>93</v>
      </c>
      <c r="I72" s="68">
        <f t="shared" si="18"/>
        <v>0</v>
      </c>
      <c r="J72" s="68">
        <f t="shared" si="18"/>
        <v>145296.98630136985</v>
      </c>
      <c r="K72" s="68">
        <f t="shared" si="18"/>
        <v>6299.58</v>
      </c>
      <c r="L72" s="68">
        <f t="shared" si="18"/>
        <v>6300.0400000000018</v>
      </c>
      <c r="M72" s="68">
        <f t="shared" si="18"/>
        <v>28915.570000000007</v>
      </c>
      <c r="N72" s="68">
        <f t="shared" si="18"/>
        <v>0.62999999999999989</v>
      </c>
      <c r="O72" s="68">
        <f t="shared" si="18"/>
        <v>28916.200000000004</v>
      </c>
      <c r="P72" s="76">
        <f>ROUND(+P9+P24+P31+P52+P61+P69,1)</f>
        <v>116380.8</v>
      </c>
    </row>
    <row r="73" spans="1:16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</row>
    <row r="74" spans="1:16" ht="15.75" x14ac:dyDescent="0.25">
      <c r="A74" s="1"/>
      <c r="B74" s="1"/>
      <c r="C74" s="1"/>
      <c r="D74" s="44" t="s">
        <v>178</v>
      </c>
      <c r="E74" s="3">
        <v>4200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</row>
    <row r="75" spans="1:16" ht="15.75" x14ac:dyDescent="0.25">
      <c r="A75" s="1"/>
      <c r="B75" s="1"/>
      <c r="C75" s="1"/>
      <c r="D75" s="44" t="s">
        <v>179</v>
      </c>
      <c r="E75" s="3">
        <v>16494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</row>
    <row r="76" spans="1:16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</row>
    <row r="77" spans="1:16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</row>
    <row r="78" spans="1:16" ht="16.5" thickBot="1" x14ac:dyDescent="0.3">
      <c r="A78" s="1"/>
      <c r="B78" s="1"/>
      <c r="C78" s="1"/>
      <c r="D78" s="1"/>
      <c r="E78" s="80"/>
      <c r="F78" s="80"/>
      <c r="G78" s="70"/>
      <c r="H78" s="1"/>
      <c r="I78" s="1"/>
      <c r="J78" s="1"/>
      <c r="K78" s="1"/>
      <c r="L78" s="1"/>
      <c r="M78" s="1"/>
      <c r="N78" s="1"/>
      <c r="O78" s="70"/>
      <c r="P78" s="2"/>
    </row>
    <row r="79" spans="1:16" x14ac:dyDescent="0.25">
      <c r="A79" s="1"/>
      <c r="B79" s="1"/>
      <c r="C79" s="1"/>
      <c r="D79" s="1"/>
      <c r="E79" s="82" t="s">
        <v>165</v>
      </c>
      <c r="F79" s="81"/>
      <c r="G79" s="70"/>
      <c r="H79" s="1"/>
      <c r="I79" s="1"/>
      <c r="J79" s="1"/>
      <c r="K79" s="1"/>
      <c r="L79" s="1"/>
      <c r="M79" s="1"/>
      <c r="N79" s="1"/>
      <c r="O79" s="1"/>
      <c r="P79" s="71" t="s">
        <v>166</v>
      </c>
    </row>
    <row r="80" spans="1:16" ht="15.75" x14ac:dyDescent="0.25">
      <c r="A80" s="1"/>
      <c r="B80" s="1"/>
      <c r="C80" s="1"/>
      <c r="D80" s="1"/>
      <c r="E80" s="44" t="s">
        <v>49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2" t="s">
        <v>167</v>
      </c>
    </row>
    <row r="81" spans="1:16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</row>
  </sheetData>
  <mergeCells count="3">
    <mergeCell ref="B4:P4"/>
    <mergeCell ref="E78:F78"/>
    <mergeCell ref="E79:F7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1ra Quincena</vt:lpstr>
      <vt:lpstr>2da Quincena</vt:lpstr>
      <vt:lpstr>Estimulo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2022-09-13T19:08:48Z</dcterms:created>
  <dcterms:modified xsi:type="dcterms:W3CDTF">2022-10-06T17:21:34Z</dcterms:modified>
</cp:coreProperties>
</file>